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Z:\Divicion de Licitaciones\DOCUMENTOS Y CARPETAS AÑO 2021\COMPARACION PRECIOS DE OBRAS\INAPA-CCC-CP-2021-00   PEDERNALES E. Y ELECTRIFICACION\"/>
    </mc:Choice>
  </mc:AlternateContent>
  <xr:revisionPtr revIDLastSave="0" documentId="8_{ACCF9C05-2C6D-4622-AC45-88FB48DF43CC}" xr6:coauthVersionLast="46" xr6:coauthVersionMax="46" xr10:uidLastSave="{00000000-0000-0000-0000-000000000000}"/>
  <bookViews>
    <workbookView xWindow="-120" yWindow="-120" windowWidth="29040" windowHeight="15840" xr2:uid="{00000000-000D-0000-FFFF-FFFF00000000}"/>
  </bookViews>
  <sheets>
    <sheet name="LISTA DE PARTIDAS" sheetId="7" r:id="rId1"/>
    <sheet name="ANALISIS "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1">#N/A</definedName>
    <definedName name="\a">#N/A</definedName>
    <definedName name="\b" localSheetId="1">'[1]CUB-10181-3(Rescision)'!#REF!</definedName>
    <definedName name="\b">#REF!</definedName>
    <definedName name="\c">#N/A</definedName>
    <definedName name="\d">#N/A</definedName>
    <definedName name="\f" localSheetId="1">'[1]CUB-10181-3(Rescision)'!#REF!</definedName>
    <definedName name="\f">#REF!</definedName>
    <definedName name="\i" localSheetId="1">'[1]CUB-10181-3(Rescision)'!#REF!</definedName>
    <definedName name="\i">#REF!</definedName>
    <definedName name="\m" localSheetId="1">'[1]CUB-10181-3(Rescision)'!#REF!</definedName>
    <definedName name="\m">#REF!</definedName>
    <definedName name="\o" localSheetId="1">#REF!</definedName>
    <definedName name="\o">[2]CUB02!$U$11:$U$17</definedName>
    <definedName name="\p" localSheetId="1">#REF!</definedName>
    <definedName name="\p">[2]CUB02!$U$1:$U$8</definedName>
    <definedName name="\q" localSheetId="1">#REF!</definedName>
    <definedName name="\q">[2]CUB02!$W$1:$W$8</definedName>
    <definedName name="\w" localSheetId="1">#REF!</definedName>
    <definedName name="\w">[2]CUB02!$W$11:$W$244</definedName>
    <definedName name="\z" localSheetId="1">#REF!</definedName>
    <definedName name="\z">[2]CUB02!$S$6</definedName>
    <definedName name="_________ZC1">#REF!</definedName>
    <definedName name="_________ZE1">#REF!</definedName>
    <definedName name="_________ZE2">#REF!</definedName>
    <definedName name="_________ZE3">#REF!</definedName>
    <definedName name="_________ZE4">#REF!</definedName>
    <definedName name="_________ZE5">#REF!</definedName>
    <definedName name="_________ZE6">#REF!</definedName>
    <definedName name="________ZC1">#REF!</definedName>
    <definedName name="________ZE1">#REF!</definedName>
    <definedName name="________ZE2">#REF!</definedName>
    <definedName name="________ZE3">#REF!</definedName>
    <definedName name="________ZE4">#REF!</definedName>
    <definedName name="________ZE5">#REF!</definedName>
    <definedName name="________ZE6">#REF!</definedName>
    <definedName name="_______ZC1">#REF!</definedName>
    <definedName name="_______ZE1">#REF!</definedName>
    <definedName name="_______ZE2">#REF!</definedName>
    <definedName name="_______ZE3">#REF!</definedName>
    <definedName name="_______ZE4">#REF!</definedName>
    <definedName name="_______ZE5">#REF!</definedName>
    <definedName name="_______ZE6">#REF!</definedName>
    <definedName name="______F">#REF!</definedName>
    <definedName name="______ZC1">#REF!</definedName>
    <definedName name="______ZE1">#REF!</definedName>
    <definedName name="______ZE2">#REF!</definedName>
    <definedName name="______ZE3">#REF!</definedName>
    <definedName name="______ZE4">#REF!</definedName>
    <definedName name="______ZE5">#REF!</definedName>
    <definedName name="______ZE6">#REF!</definedName>
    <definedName name="_____F">#REF!</definedName>
    <definedName name="_____ZC1" localSheetId="1">#REF!</definedName>
    <definedName name="_____ZC1">#REF!</definedName>
    <definedName name="_____ZE1" localSheetId="1">#REF!</definedName>
    <definedName name="_____ZE1">#REF!</definedName>
    <definedName name="_____ZE2" localSheetId="1">#REF!</definedName>
    <definedName name="_____ZE2">#REF!</definedName>
    <definedName name="_____ZE3" localSheetId="1">#REF!</definedName>
    <definedName name="_____ZE3">#REF!</definedName>
    <definedName name="_____ZE4" localSheetId="1">#REF!</definedName>
    <definedName name="_____ZE4">#REF!</definedName>
    <definedName name="_____ZE5" localSheetId="1">#REF!</definedName>
    <definedName name="_____ZE5">#REF!</definedName>
    <definedName name="_____ZE6" localSheetId="1">#REF!</definedName>
    <definedName name="_____ZE6">#REF!</definedName>
    <definedName name="____F">#REF!</definedName>
    <definedName name="____ZC1" localSheetId="1">#REF!</definedName>
    <definedName name="____ZC1">#REF!</definedName>
    <definedName name="____ZE1" localSheetId="1">#REF!</definedName>
    <definedName name="____ZE1">#REF!</definedName>
    <definedName name="____ZE2" localSheetId="1">#REF!</definedName>
    <definedName name="____ZE2">#REF!</definedName>
    <definedName name="____ZE3" localSheetId="1">#REF!</definedName>
    <definedName name="____ZE3">#REF!</definedName>
    <definedName name="____ZE4" localSheetId="1">#REF!</definedName>
    <definedName name="____ZE4">#REF!</definedName>
    <definedName name="____ZE5" localSheetId="1">#REF!</definedName>
    <definedName name="____ZE5">#REF!</definedName>
    <definedName name="____ZE6" localSheetId="1">#REF!</definedName>
    <definedName name="____ZE6">#REF!</definedName>
    <definedName name="___F">#REF!</definedName>
    <definedName name="___ZC1" localSheetId="1">#REF!</definedName>
    <definedName name="___ZC1">#REF!</definedName>
    <definedName name="___ZC2">#REF!</definedName>
    <definedName name="___ZE1" localSheetId="1">#REF!</definedName>
    <definedName name="___ZE1">#REF!</definedName>
    <definedName name="___ZE2" localSheetId="1">#REF!</definedName>
    <definedName name="___ZE2">#REF!</definedName>
    <definedName name="___ZE3" localSheetId="1">#REF!</definedName>
    <definedName name="___ZE3">#REF!</definedName>
    <definedName name="___ZE4" localSheetId="1">#REF!</definedName>
    <definedName name="___ZE4">#REF!</definedName>
    <definedName name="___ZE5" localSheetId="1">#REF!</definedName>
    <definedName name="___ZE5">#REF!</definedName>
    <definedName name="___ZE6" localSheetId="1">#REF!</definedName>
    <definedName name="___ZE6">#REF!</definedName>
    <definedName name="__F">#REF!</definedName>
    <definedName name="__REALIZADO" localSheetId="1">#REF!</definedName>
    <definedName name="__REALIZADO">[2]CUB02!$W$1:$W$8</definedName>
    <definedName name="__REALIZADO_10">#REF!</definedName>
    <definedName name="__REALIZADO_11">#REF!</definedName>
    <definedName name="__REALIZADO_5">#REF!</definedName>
    <definedName name="__REALIZADO_6">#REF!</definedName>
    <definedName name="__REALIZADO_7">#REF!</definedName>
    <definedName name="__REALIZADO_8">#REF!</definedName>
    <definedName name="__REALIZADO_9">#REF!</definedName>
    <definedName name="__ZC1" localSheetId="1">#REF!</definedName>
    <definedName name="__ZC1">#REF!</definedName>
    <definedName name="__ZC1_8">#REF!</definedName>
    <definedName name="__ZC2">#REF!</definedName>
    <definedName name="__ZE1" localSheetId="1">#REF!</definedName>
    <definedName name="__ZE1">#REF!</definedName>
    <definedName name="__ZE1_8">#REF!</definedName>
    <definedName name="__ZE2" localSheetId="1">#REF!</definedName>
    <definedName name="__ZE2">#REF!</definedName>
    <definedName name="__ZE2_8">#REF!</definedName>
    <definedName name="__ZE3" localSheetId="1">#REF!</definedName>
    <definedName name="__ZE3">#REF!</definedName>
    <definedName name="__ZE3_8">#REF!</definedName>
    <definedName name="__ZE4" localSheetId="1">#REF!</definedName>
    <definedName name="__ZE4">#REF!</definedName>
    <definedName name="__ZE4_8">#REF!</definedName>
    <definedName name="__ZE5" localSheetId="1">#REF!</definedName>
    <definedName name="__ZE5">#REF!</definedName>
    <definedName name="__ZE5_8">#REF!</definedName>
    <definedName name="__ZE6" localSheetId="1">#REF!</definedName>
    <definedName name="__ZE6">#REF!</definedName>
    <definedName name="__ZE6_8">#REF!</definedName>
    <definedName name="_1">#N/A</definedName>
    <definedName name="_1_6">NA()</definedName>
    <definedName name="_a">#REF!</definedName>
    <definedName name="_a_10">#REF!</definedName>
    <definedName name="_a_11">#REF!</definedName>
    <definedName name="_a_5">#REF!</definedName>
    <definedName name="_a_6">#REF!</definedName>
    <definedName name="_a_7">#REF!</definedName>
    <definedName name="_a_8">#REF!</definedName>
    <definedName name="_a_9">#REF!</definedName>
    <definedName name="_b">#REF!</definedName>
    <definedName name="_b_6">#REF!</definedName>
    <definedName name="_c">NA()</definedName>
    <definedName name="_d">NA()</definedName>
    <definedName name="_F">#REF!</definedName>
    <definedName name="_f_6">#REF!</definedName>
    <definedName name="_Fill" localSheetId="1" hidden="1">#REF!</definedName>
    <definedName name="_Fill" hidden="1">#REF!</definedName>
    <definedName name="_i">#REF!</definedName>
    <definedName name="_i_6">#REF!</definedName>
    <definedName name="_m">#REF!</definedName>
    <definedName name="_m_6">#REF!</definedName>
    <definedName name="_o">#REF!</definedName>
    <definedName name="_o_10">#REF!</definedName>
    <definedName name="_o_11">#REF!</definedName>
    <definedName name="_o_5">#REF!</definedName>
    <definedName name="_o_6">#REF!</definedName>
    <definedName name="_o_7">#REF!</definedName>
    <definedName name="_o_8">#REF!</definedName>
    <definedName name="_o_9">#REF!</definedName>
    <definedName name="_p">#REF!</definedName>
    <definedName name="_p_10">#REF!</definedName>
    <definedName name="_p_11">#REF!</definedName>
    <definedName name="_p_5">#REF!</definedName>
    <definedName name="_p_6">#REF!</definedName>
    <definedName name="_p_7">#REF!</definedName>
    <definedName name="_p_8">#REF!</definedName>
    <definedName name="_p_9">#REF!</definedName>
    <definedName name="_q">#REF!</definedName>
    <definedName name="_q_10">#REF!</definedName>
    <definedName name="_q_11">#REF!</definedName>
    <definedName name="_q_5">#REF!</definedName>
    <definedName name="_q_6">#REF!</definedName>
    <definedName name="_q_7">#REF!</definedName>
    <definedName name="_q_8">#REF!</definedName>
    <definedName name="_q_9">#REF!</definedName>
    <definedName name="_w">#REF!</definedName>
    <definedName name="_w_10">#REF!</definedName>
    <definedName name="_w_11">#REF!</definedName>
    <definedName name="_w_5">#REF!</definedName>
    <definedName name="_w_6">#REF!</definedName>
    <definedName name="_w_7">#REF!</definedName>
    <definedName name="_w_8">#REF!</definedName>
    <definedName name="_w_9">#REF!</definedName>
    <definedName name="_z">#REF!</definedName>
    <definedName name="_z_10">#REF!</definedName>
    <definedName name="_z_11">#REF!</definedName>
    <definedName name="_z_5">#REF!</definedName>
    <definedName name="_z_6">#REF!</definedName>
    <definedName name="_z_7">#REF!</definedName>
    <definedName name="_z_8">#REF!</definedName>
    <definedName name="_z_9">#REF!</definedName>
    <definedName name="_ZC1" localSheetId="1">#REF!</definedName>
    <definedName name="_ZC1">#REF!</definedName>
    <definedName name="_ZC1_8">#REF!</definedName>
    <definedName name="_ZE1" localSheetId="1">#REF!</definedName>
    <definedName name="_ZE1">#REF!</definedName>
    <definedName name="_ZE1_8">#REF!</definedName>
    <definedName name="_ZE2" localSheetId="1">#REF!</definedName>
    <definedName name="_ZE2">#REF!</definedName>
    <definedName name="_ZE2_8">#REF!</definedName>
    <definedName name="_ZE3" localSheetId="1">#REF!</definedName>
    <definedName name="_ZE3">#REF!</definedName>
    <definedName name="_ZE3_8">#REF!</definedName>
    <definedName name="_ZE4" localSheetId="1">#REF!</definedName>
    <definedName name="_ZE4">#REF!</definedName>
    <definedName name="_ZE4_8">#REF!</definedName>
    <definedName name="_ZE5" localSheetId="1">#REF!</definedName>
    <definedName name="_ZE5">#REF!</definedName>
    <definedName name="_ZE5_8">#REF!</definedName>
    <definedName name="_ZE6" localSheetId="1">#REF!</definedName>
    <definedName name="_ZE6">#REF!</definedName>
    <definedName name="_ZE6_8">#REF!</definedName>
    <definedName name="a" localSheetId="1">#REF!</definedName>
    <definedName name="a">[3]PVC!#REF!</definedName>
    <definedName name="a_10">#REF!</definedName>
    <definedName name="a_11">#REF!</definedName>
    <definedName name="a_6">#REF!</definedName>
    <definedName name="a_7">#REF!</definedName>
    <definedName name="a_8">#REF!</definedName>
    <definedName name="a_9">#REF!</definedName>
    <definedName name="A_IMPRESIÓN_IM" localSheetId="1">#REF!</definedName>
    <definedName name="A_IMPRESIÓN_IM">#REF!</definedName>
    <definedName name="A_IMPRESIÓN_IM_10">#REF!</definedName>
    <definedName name="A_IMPRESIÓN_IM_11">#REF!</definedName>
    <definedName name="A_IMPRESIÓN_IM_5">#REF!</definedName>
    <definedName name="A_IMPRESIÓN_IM_6">#REF!</definedName>
    <definedName name="A_IMPRESIÓN_IM_7">#REF!</definedName>
    <definedName name="A_IMPRESIÓN_IM_8">#REF!</definedName>
    <definedName name="A_IMPRESIÓN_IM_9">#REF!</definedName>
    <definedName name="AA">'[4]M.O.'!#REF!</definedName>
    <definedName name="AC38G40">'[5]LISTADO INSUMOS DEL 2000'!$I$29</definedName>
    <definedName name="acero" localSheetId="1">#REF!</definedName>
    <definedName name="acero">#REF!</definedName>
    <definedName name="acero_6">#REF!</definedName>
    <definedName name="acero_8">#REF!</definedName>
    <definedName name="Acero_QQ" localSheetId="1">#REF!</definedName>
    <definedName name="Acero_QQ">[6]INSU!$D$9</definedName>
    <definedName name="Acero_QQ_10">#REF!</definedName>
    <definedName name="Acero_QQ_11">#REF!</definedName>
    <definedName name="Acero_QQ_5">#REF!</definedName>
    <definedName name="Acero_QQ_6">#REF!</definedName>
    <definedName name="Acero_QQ_7">#REF!</definedName>
    <definedName name="Acero_QQ_8">#REF!</definedName>
    <definedName name="Acero_QQ_9">#REF!</definedName>
    <definedName name="acero60" localSheetId="1">#REF!</definedName>
    <definedName name="acero60">#REF!</definedName>
    <definedName name="acero60_8">#REF!</definedName>
    <definedName name="ACUEDUCTO">[7]INS!#REF!</definedName>
    <definedName name="ACUEDUCTO_8">#REF!</definedName>
    <definedName name="ADA" localSheetId="1">'[8]CUB-10181-3(Rescision)'!#REF!</definedName>
    <definedName name="ADA">'[8]CUB-10181-3(Rescision)'!#REF!</definedName>
    <definedName name="ADAPTADOR_HEM_PVC_1" localSheetId="1">#REF!</definedName>
    <definedName name="ADAPTADOR_HEM_PVC_1">#REF!</definedName>
    <definedName name="ADAPTADOR_HEM_PVC_1_10">#REF!</definedName>
    <definedName name="ADAPTADOR_HEM_PVC_1_11">#REF!</definedName>
    <definedName name="ADAPTADOR_HEM_PVC_1_6">#REF!</definedName>
    <definedName name="ADAPTADOR_HEM_PVC_1_7">#REF!</definedName>
    <definedName name="ADAPTADOR_HEM_PVC_1_8">#REF!</definedName>
    <definedName name="ADAPTADOR_HEM_PVC_1_9">#REF!</definedName>
    <definedName name="ADAPTADOR_HEM_PVC_12" localSheetId="1">#REF!</definedName>
    <definedName name="ADAPTADOR_HEM_PVC_12">#REF!</definedName>
    <definedName name="ADAPTADOR_HEM_PVC_12_10">#REF!</definedName>
    <definedName name="ADAPTADOR_HEM_PVC_12_11">#REF!</definedName>
    <definedName name="ADAPTADOR_HEM_PVC_12_6">#REF!</definedName>
    <definedName name="ADAPTADOR_HEM_PVC_12_7">#REF!</definedName>
    <definedName name="ADAPTADOR_HEM_PVC_12_8">#REF!</definedName>
    <definedName name="ADAPTADOR_HEM_PVC_12_9">#REF!</definedName>
    <definedName name="ADAPTADOR_HEM_PVC_34" localSheetId="1">#REF!</definedName>
    <definedName name="ADAPTADOR_HEM_PVC_34">#REF!</definedName>
    <definedName name="ADAPTADOR_HEM_PVC_34_10">#REF!</definedName>
    <definedName name="ADAPTADOR_HEM_PVC_34_11">#REF!</definedName>
    <definedName name="ADAPTADOR_HEM_PVC_34_6">#REF!</definedName>
    <definedName name="ADAPTADOR_HEM_PVC_34_7">#REF!</definedName>
    <definedName name="ADAPTADOR_HEM_PVC_34_8">#REF!</definedName>
    <definedName name="ADAPTADOR_HEM_PVC_34_9">#REF!</definedName>
    <definedName name="ADAPTADOR_MAC_PVC_1" localSheetId="1">#REF!</definedName>
    <definedName name="ADAPTADOR_MAC_PVC_1">#REF!</definedName>
    <definedName name="ADAPTADOR_MAC_PVC_1_10">#REF!</definedName>
    <definedName name="ADAPTADOR_MAC_PVC_1_11">#REF!</definedName>
    <definedName name="ADAPTADOR_MAC_PVC_1_6">#REF!</definedName>
    <definedName name="ADAPTADOR_MAC_PVC_1_7">#REF!</definedName>
    <definedName name="ADAPTADOR_MAC_PVC_1_8">#REF!</definedName>
    <definedName name="ADAPTADOR_MAC_PVC_1_9">#REF!</definedName>
    <definedName name="ADAPTADOR_MAC_PVC_12" localSheetId="1">#REF!</definedName>
    <definedName name="ADAPTADOR_MAC_PVC_12">#REF!</definedName>
    <definedName name="ADAPTADOR_MAC_PVC_12_10">#REF!</definedName>
    <definedName name="ADAPTADOR_MAC_PVC_12_11">#REF!</definedName>
    <definedName name="ADAPTADOR_MAC_PVC_12_6">#REF!</definedName>
    <definedName name="ADAPTADOR_MAC_PVC_12_7">#REF!</definedName>
    <definedName name="ADAPTADOR_MAC_PVC_12_8">#REF!</definedName>
    <definedName name="ADAPTADOR_MAC_PVC_12_9">#REF!</definedName>
    <definedName name="ADAPTADOR_MAC_PVC_34" localSheetId="1">#REF!</definedName>
    <definedName name="ADAPTADOR_MAC_PVC_34">#REF!</definedName>
    <definedName name="ADAPTADOR_MAC_PVC_34_10">#REF!</definedName>
    <definedName name="ADAPTADOR_MAC_PVC_34_11">#REF!</definedName>
    <definedName name="ADAPTADOR_MAC_PVC_34_6">#REF!</definedName>
    <definedName name="ADAPTADOR_MAC_PVC_34_7">#REF!</definedName>
    <definedName name="ADAPTADOR_MAC_PVC_34_8">#REF!</definedName>
    <definedName name="ADAPTADOR_MAC_PVC_34_9">#REF!</definedName>
    <definedName name="ADICIONAL">#N/A</definedName>
    <definedName name="ADICIONAL_6">NA()</definedName>
    <definedName name="ADITIVO_IMPERMEABILIZANTE" localSheetId="1">#REF!</definedName>
    <definedName name="ADITIVO_IMPERMEABILIZANTE">#REF!</definedName>
    <definedName name="ADITIVO_IMPERMEABILIZANTE_10">#REF!</definedName>
    <definedName name="ADITIVO_IMPERMEABILIZANTE_11">#REF!</definedName>
    <definedName name="ADITIVO_IMPERMEABILIZANTE_6">#REF!</definedName>
    <definedName name="ADITIVO_IMPERMEABILIZANTE_7">#REF!</definedName>
    <definedName name="ADITIVO_IMPERMEABILIZANTE_8">#REF!</definedName>
    <definedName name="ADITIVO_IMPERMEABILIZANTE_9">#REF!</definedName>
    <definedName name="Agua" localSheetId="1">#REF!</definedName>
    <definedName name="Agua">#REF!</definedName>
    <definedName name="Agua_10">#REF!</definedName>
    <definedName name="Agua_11">#REF!</definedName>
    <definedName name="Agua_6">#REF!</definedName>
    <definedName name="Agua_7">#REF!</definedName>
    <definedName name="Agua_8">#REF!</definedName>
    <definedName name="Agua_9">#REF!</definedName>
    <definedName name="AL_ELEC_No10" localSheetId="1">#REF!</definedName>
    <definedName name="AL_ELEC_No10">#REF!</definedName>
    <definedName name="AL_ELEC_No10_10">#REF!</definedName>
    <definedName name="AL_ELEC_No10_11">#REF!</definedName>
    <definedName name="AL_ELEC_No10_6">#REF!</definedName>
    <definedName name="AL_ELEC_No10_7">#REF!</definedName>
    <definedName name="AL_ELEC_No10_8">#REF!</definedName>
    <definedName name="AL_ELEC_No10_9">#REF!</definedName>
    <definedName name="AL_ELEC_No12" localSheetId="1">#REF!</definedName>
    <definedName name="AL_ELEC_No12">#REF!</definedName>
    <definedName name="AL_ELEC_No12_10">#REF!</definedName>
    <definedName name="AL_ELEC_No12_11">#REF!</definedName>
    <definedName name="AL_ELEC_No12_6">#REF!</definedName>
    <definedName name="AL_ELEC_No12_7">#REF!</definedName>
    <definedName name="AL_ELEC_No12_8">#REF!</definedName>
    <definedName name="AL_ELEC_No12_9">#REF!</definedName>
    <definedName name="AL_ELEC_No14" localSheetId="1">#REF!</definedName>
    <definedName name="AL_ELEC_No14">#REF!</definedName>
    <definedName name="AL_ELEC_No14_10">#REF!</definedName>
    <definedName name="AL_ELEC_No14_11">#REF!</definedName>
    <definedName name="AL_ELEC_No14_6">#REF!</definedName>
    <definedName name="AL_ELEC_No14_7">#REF!</definedName>
    <definedName name="AL_ELEC_No14_8">#REF!</definedName>
    <definedName name="AL_ELEC_No14_9">#REF!</definedName>
    <definedName name="AL_ELEC_No6" localSheetId="1">#REF!</definedName>
    <definedName name="AL_ELEC_No6">#REF!</definedName>
    <definedName name="AL_ELEC_No6_10">#REF!</definedName>
    <definedName name="AL_ELEC_No6_11">#REF!</definedName>
    <definedName name="AL_ELEC_No6_6">#REF!</definedName>
    <definedName name="AL_ELEC_No6_7">#REF!</definedName>
    <definedName name="AL_ELEC_No6_8">#REF!</definedName>
    <definedName name="AL_ELEC_No6_9">#REF!</definedName>
    <definedName name="AL_ELEC_No8" localSheetId="1">#REF!</definedName>
    <definedName name="AL_ELEC_No8">#REF!</definedName>
    <definedName name="AL_ELEC_No8_10">#REF!</definedName>
    <definedName name="AL_ELEC_No8_11">#REF!</definedName>
    <definedName name="AL_ELEC_No8_6">#REF!</definedName>
    <definedName name="AL_ELEC_No8_7">#REF!</definedName>
    <definedName name="AL_ELEC_No8_8">#REF!</definedName>
    <definedName name="AL_ELEC_No8_9">#REF!</definedName>
    <definedName name="Alambre_Varilla" localSheetId="1">#REF!</definedName>
    <definedName name="Alambre_Varilla">[6]INSU!$D$17</definedName>
    <definedName name="Alambre_Varilla_10">#REF!</definedName>
    <definedName name="Alambre_Varilla_11">#REF!</definedName>
    <definedName name="Alambre_Varilla_5">#REF!</definedName>
    <definedName name="Alambre_Varilla_6">#REF!</definedName>
    <definedName name="Alambre_Varilla_7">#REF!</definedName>
    <definedName name="Alambre_Varilla_8">#REF!</definedName>
    <definedName name="Alambre_Varilla_9">#REF!</definedName>
    <definedName name="alambre18" localSheetId="1">#REF!</definedName>
    <definedName name="alambre18">#REF!</definedName>
    <definedName name="alambre18_8">#REF!</definedName>
    <definedName name="ALBANIL" localSheetId="1">#REF!</definedName>
    <definedName name="ALBANIL">#REF!</definedName>
    <definedName name="ALBANIL2" localSheetId="1">'[9]M.O.'!$C$12</definedName>
    <definedName name="ALBANIL2">#REF!</definedName>
    <definedName name="ALBANIL2_10">#REF!</definedName>
    <definedName name="ALBANIL2_11">#REF!</definedName>
    <definedName name="ALBANIL2_6">#REF!</definedName>
    <definedName name="ALBANIL2_7">#REF!</definedName>
    <definedName name="ALBANIL2_8">#REF!</definedName>
    <definedName name="ALBANIL2_9">#REF!</definedName>
    <definedName name="ALBANIL3" localSheetId="1">#REF!</definedName>
    <definedName name="ALBANIL3">#REF!</definedName>
    <definedName name="altura">[10]presupuesto!#REF!</definedName>
    <definedName name="ana" localSheetId="1">[11]PRESUPUESTO!$C$4</definedName>
    <definedName name="ANA">'[8]CUB-10181-3(Rescision)'!#REF!</definedName>
    <definedName name="ana_6">#REF!</definedName>
    <definedName name="analiis">'[9]M.O.'!#REF!</definedName>
    <definedName name="analisis">#REF!</definedName>
    <definedName name="ANALISSSSS">#N/A</definedName>
    <definedName name="ANALISSSSS_6">#REF!</definedName>
    <definedName name="ANDAMIOS" localSheetId="1">#REF!</definedName>
    <definedName name="ANDAMIOS">#REF!</definedName>
    <definedName name="ANDAMIOS_10">#REF!</definedName>
    <definedName name="ANDAMIOS_11">#REF!</definedName>
    <definedName name="ANDAMIOS_6">#REF!</definedName>
    <definedName name="ANDAMIOS_7">#REF!</definedName>
    <definedName name="ANDAMIOS_8">#REF!</definedName>
    <definedName name="ANDAMIOS_9">#REF!</definedName>
    <definedName name="ANGULAR" localSheetId="1">#REF!</definedName>
    <definedName name="ANGULAR">#REF!</definedName>
    <definedName name="ANGULAR_8">#REF!</definedName>
    <definedName name="AP">#REF!</definedName>
    <definedName name="aqui">#REF!</definedName>
    <definedName name="ARANDELA_INODORO_PVC_4" localSheetId="1">#REF!</definedName>
    <definedName name="ARANDELA_INODORO_PVC_4">#REF!</definedName>
    <definedName name="ARANDELA_INODORO_PVC_4_10">#REF!</definedName>
    <definedName name="ARANDELA_INODORO_PVC_4_11">#REF!</definedName>
    <definedName name="ARANDELA_INODORO_PVC_4_6">#REF!</definedName>
    <definedName name="ARANDELA_INODORO_PVC_4_7">#REF!</definedName>
    <definedName name="ARANDELA_INODORO_PVC_4_8">#REF!</definedName>
    <definedName name="ARANDELA_INODORO_PVC_4_9">#REF!</definedName>
    <definedName name="ARCILLA_ROJA" localSheetId="1">#REF!</definedName>
    <definedName name="ARCILLA_ROJA">#REF!</definedName>
    <definedName name="ARCILLA_ROJA_10">#REF!</definedName>
    <definedName name="ARCILLA_ROJA_11">#REF!</definedName>
    <definedName name="ARCILLA_ROJA_6">#REF!</definedName>
    <definedName name="ARCILLA_ROJA_7">#REF!</definedName>
    <definedName name="ARCILLA_ROJA_8">#REF!</definedName>
    <definedName name="ARCILLA_ROJA_9">#REF!</definedName>
    <definedName name="area">[10]presupuesto!#REF!</definedName>
    <definedName name="_xlnm.Extract" localSheetId="1">#REF!</definedName>
    <definedName name="_xlnm.Extract">[2]CUB02!$S$13:$AN$415</definedName>
    <definedName name="_xlnm.Print_Area" localSheetId="1">'ANALISIS '!$A$1:$F$1342</definedName>
    <definedName name="_xlnm.Print_Area" localSheetId="0">'LISTA DE PARTIDAS'!$A$1:$F$389</definedName>
    <definedName name="_xlnm.Print_Area">#REF!</definedName>
    <definedName name="ARENA_PAÑETE" localSheetId="1">#REF!</definedName>
    <definedName name="ARENA_PAÑETE">#REF!</definedName>
    <definedName name="ARENA_PAÑETE_10">#REF!</definedName>
    <definedName name="ARENA_PAÑETE_11">#REF!</definedName>
    <definedName name="ARENA_PAÑETE_6">#REF!</definedName>
    <definedName name="ARENA_PAÑETE_7">#REF!</definedName>
    <definedName name="ARENA_PAÑETE_8">#REF!</definedName>
    <definedName name="ARENA_PAÑETE_9">#REF!</definedName>
    <definedName name="ArenaItabo" localSheetId="1">#REF!</definedName>
    <definedName name="ArenaItabo">#REF!</definedName>
    <definedName name="ArenaItabo_10">#REF!</definedName>
    <definedName name="ArenaItabo_11">#REF!</definedName>
    <definedName name="ArenaItabo_6">#REF!</definedName>
    <definedName name="ArenaItabo_7">#REF!</definedName>
    <definedName name="ArenaItabo_8">#REF!</definedName>
    <definedName name="ArenaItabo_9">#REF!</definedName>
    <definedName name="ArenaPlanta" localSheetId="1">#REF!</definedName>
    <definedName name="ArenaPlanta">#REF!</definedName>
    <definedName name="ArenaPlanta_10">#REF!</definedName>
    <definedName name="ArenaPlanta_11">#REF!</definedName>
    <definedName name="ArenaPlanta_6">#REF!</definedName>
    <definedName name="ArenaPlanta_7">#REF!</definedName>
    <definedName name="ArenaPlanta_8">#REF!</definedName>
    <definedName name="ArenaPlanta_9">#REF!</definedName>
    <definedName name="as" localSheetId="1">'[12]M.O.'!#REF!</definedName>
    <definedName name="as">'[12]M.O.'!#REF!</definedName>
    <definedName name="as_10">#REF!</definedName>
    <definedName name="as_11">#REF!</definedName>
    <definedName name="as_5">#REF!</definedName>
    <definedName name="as_6">#REF!</definedName>
    <definedName name="as_7">#REF!</definedName>
    <definedName name="as_8">#REF!</definedName>
    <definedName name="as_9">#REF!</definedName>
    <definedName name="asd" localSheetId="1">#REF!</definedName>
    <definedName name="asd">#REF!</definedName>
    <definedName name="AT">#REF!</definedName>
    <definedName name="AY">#REF!</definedName>
    <definedName name="AYCARP" localSheetId="1">#REF!</definedName>
    <definedName name="AYCARP">[7]INS!#REF!</definedName>
    <definedName name="AYCARP_6">#REF!</definedName>
    <definedName name="AYCARP_8">#REF!</definedName>
    <definedName name="Ayudante" localSheetId="1">#REF!</definedName>
    <definedName name="AYUDANTE">#REF!</definedName>
    <definedName name="Ayudante_2da" localSheetId="1">#REF!</definedName>
    <definedName name="Ayudante_2da">#REF!</definedName>
    <definedName name="Ayudante_2da_10">#REF!</definedName>
    <definedName name="Ayudante_2da_11">#REF!</definedName>
    <definedName name="Ayudante_2da_6">#REF!</definedName>
    <definedName name="Ayudante_2da_7">#REF!</definedName>
    <definedName name="Ayudante_2da_8">#REF!</definedName>
    <definedName name="Ayudante_2da_9">#REF!</definedName>
    <definedName name="Ayudante_6">#REF!</definedName>
    <definedName name="Ayudante_Soldador" localSheetId="1">#REF!</definedName>
    <definedName name="Ayudante_Soldador">#REF!</definedName>
    <definedName name="Ayudante_Soldador_10">#REF!</definedName>
    <definedName name="Ayudante_Soldador_11">#REF!</definedName>
    <definedName name="Ayudante_Soldador_6">#REF!</definedName>
    <definedName name="Ayudante_Soldador_7">#REF!</definedName>
    <definedName name="Ayudante_Soldador_8">#REF!</definedName>
    <definedName name="Ayudante_Soldador_9">#REF!</definedName>
    <definedName name="b" localSheetId="1">[13]ADDENDA!#REF!</definedName>
    <definedName name="b">[13]ADDENDA!#REF!</definedName>
    <definedName name="b_6">#REF!</definedName>
    <definedName name="b_8">#REF!</definedName>
    <definedName name="BALDOSAS_TRANSPARENTE" localSheetId="1">#REF!</definedName>
    <definedName name="BALDOSAS_TRANSPARENTE">#REF!</definedName>
    <definedName name="BALDOSAS_TRANSPARENTE_10">#REF!</definedName>
    <definedName name="BALDOSAS_TRANSPARENTE_11">#REF!</definedName>
    <definedName name="BALDOSAS_TRANSPARENTE_6">#REF!</definedName>
    <definedName name="BALDOSAS_TRANSPARENTE_7">#REF!</definedName>
    <definedName name="BALDOSAS_TRANSPARENTE_8">#REF!</definedName>
    <definedName name="BALDOSAS_TRANSPARENTE_9">#REF!</definedName>
    <definedName name="bas3e" localSheetId="1">#N/A</definedName>
    <definedName name="bas3e">#REF!</definedName>
    <definedName name="bas3e_6">#REF!</definedName>
    <definedName name="base">#REF!</definedName>
    <definedName name="BASE_CONTEN" localSheetId="1">#REF!</definedName>
    <definedName name="BASE_CONTEN">#REF!</definedName>
    <definedName name="BASE_CONTEN_10">#REF!</definedName>
    <definedName name="BASE_CONTEN_11">#REF!</definedName>
    <definedName name="BASE_CONTEN_6">#REF!</definedName>
    <definedName name="BASE_CONTEN_7">#REF!</definedName>
    <definedName name="BASE_CONTEN_8">#REF!</definedName>
    <definedName name="BASE_CONTEN_9">#REF!</definedName>
    <definedName name="BBB">#REF!</definedName>
    <definedName name="BBBBBBBBBBBBBBBB">#REF!</definedName>
    <definedName name="BLOCK_4" localSheetId="1">#REF!</definedName>
    <definedName name="BLOCK_4">#REF!</definedName>
    <definedName name="BLOCK_4_10">#REF!</definedName>
    <definedName name="BLOCK_4_11">#REF!</definedName>
    <definedName name="BLOCK_4_6">#REF!</definedName>
    <definedName name="BLOCK_4_7">#REF!</definedName>
    <definedName name="BLOCK_4_8">#REF!</definedName>
    <definedName name="BLOCK_4_9">#REF!</definedName>
    <definedName name="BLOCK_6" localSheetId="1">#REF!</definedName>
    <definedName name="BLOCK_6">#REF!</definedName>
    <definedName name="BLOCK_6_10">#REF!</definedName>
    <definedName name="BLOCK_6_11">#REF!</definedName>
    <definedName name="BLOCK_6_6">#REF!</definedName>
    <definedName name="BLOCK_6_7">#REF!</definedName>
    <definedName name="BLOCK_6_8">#REF!</definedName>
    <definedName name="BLOCK_6_9">#REF!</definedName>
    <definedName name="BLOCK_8" localSheetId="1">#REF!</definedName>
    <definedName name="BLOCK_8">#REF!</definedName>
    <definedName name="BLOCK_8_10">#REF!</definedName>
    <definedName name="BLOCK_8_11">#REF!</definedName>
    <definedName name="BLOCK_8_6">#REF!</definedName>
    <definedName name="BLOCK_8_7">#REF!</definedName>
    <definedName name="BLOCK_8_8">#REF!</definedName>
    <definedName name="BLOCK_8_9">#REF!</definedName>
    <definedName name="BLOCK_CALADO" localSheetId="1">#REF!</definedName>
    <definedName name="BLOCK_CALADO">#REF!</definedName>
    <definedName name="BLOCK_CALADO_10">#REF!</definedName>
    <definedName name="BLOCK_CALADO_11">#REF!</definedName>
    <definedName name="BLOCK_CALADO_6">#REF!</definedName>
    <definedName name="BLOCK_CALADO_7">#REF!</definedName>
    <definedName name="BLOCK_CALADO_8">#REF!</definedName>
    <definedName name="BLOCK_CALADO_9">#REF!</definedName>
    <definedName name="bloque8" localSheetId="1">#REF!</definedName>
    <definedName name="bloque8">#REF!</definedName>
    <definedName name="bloque8_6">#REF!</definedName>
    <definedName name="bloque8_8">#REF!</definedName>
    <definedName name="BOMBA_ACHIQUE" localSheetId="1">#REF!</definedName>
    <definedName name="BOMBA_ACHIQUE">#REF!</definedName>
    <definedName name="BOMBA_ACHIQUE_10">#REF!</definedName>
    <definedName name="BOMBA_ACHIQUE_11">#REF!</definedName>
    <definedName name="BOMBA_ACHIQUE_6">#REF!</definedName>
    <definedName name="BOMBA_ACHIQUE_7">#REF!</definedName>
    <definedName name="BOMBA_ACHIQUE_8">#REF!</definedName>
    <definedName name="BOMBA_ACHIQUE_9">#REF!</definedName>
    <definedName name="BOMBILLAS_1500W">[14]INSU!$B$42</definedName>
    <definedName name="BOQUILLA_FREGADERO_CROMO" localSheetId="1">#REF!</definedName>
    <definedName name="BOQUILLA_FREGADERO_CROMO">#REF!</definedName>
    <definedName name="BOQUILLA_FREGADERO_CROMO_10">#REF!</definedName>
    <definedName name="BOQUILLA_FREGADERO_CROMO_11">#REF!</definedName>
    <definedName name="BOQUILLA_FREGADERO_CROMO_6">#REF!</definedName>
    <definedName name="BOQUILLA_FREGADERO_CROMO_7">#REF!</definedName>
    <definedName name="BOQUILLA_FREGADERO_CROMO_8">#REF!</definedName>
    <definedName name="BOQUILLA_FREGADERO_CROMO_9">#REF!</definedName>
    <definedName name="BOQUILLA_LAVADERO_CROMO" localSheetId="1">#REF!</definedName>
    <definedName name="BOQUILLA_LAVADERO_CROMO">#REF!</definedName>
    <definedName name="BOQUILLA_LAVADERO_CROMO_10">#REF!</definedName>
    <definedName name="BOQUILLA_LAVADERO_CROMO_11">#REF!</definedName>
    <definedName name="BOQUILLA_LAVADERO_CROMO_6">#REF!</definedName>
    <definedName name="BOQUILLA_LAVADERO_CROMO_7">#REF!</definedName>
    <definedName name="BOQUILLA_LAVADERO_CROMO_8">#REF!</definedName>
    <definedName name="BOQUILLA_LAVADERO_CROMO_9">#REF!</definedName>
    <definedName name="BOTE" localSheetId="1">#REF!</definedName>
    <definedName name="BOTE">#REF!</definedName>
    <definedName name="BOTE_10">#REF!</definedName>
    <definedName name="BOTE_11">#REF!</definedName>
    <definedName name="BOTE_6">#REF!</definedName>
    <definedName name="BOTE_7">#REF!</definedName>
    <definedName name="BOTE_8">#REF!</definedName>
    <definedName name="BOTE_9">#REF!</definedName>
    <definedName name="BREAKERS" localSheetId="1">#REF!</definedName>
    <definedName name="BREAKERS">#REF!</definedName>
    <definedName name="BREAKERS_10">#REF!</definedName>
    <definedName name="BREAKERS_11">#REF!</definedName>
    <definedName name="BREAKERS_15A" localSheetId="1">#REF!</definedName>
    <definedName name="BREAKERS_15A">#REF!</definedName>
    <definedName name="BREAKERS_15A_10">#REF!</definedName>
    <definedName name="BREAKERS_15A_11">#REF!</definedName>
    <definedName name="BREAKERS_15A_6">#REF!</definedName>
    <definedName name="BREAKERS_15A_7">#REF!</definedName>
    <definedName name="BREAKERS_15A_8">#REF!</definedName>
    <definedName name="BREAKERS_15A_9">#REF!</definedName>
    <definedName name="BREAKERS_20A" localSheetId="1">#REF!</definedName>
    <definedName name="BREAKERS_20A">#REF!</definedName>
    <definedName name="BREAKERS_20A_10">#REF!</definedName>
    <definedName name="BREAKERS_20A_11">#REF!</definedName>
    <definedName name="BREAKERS_20A_6">#REF!</definedName>
    <definedName name="BREAKERS_20A_7">#REF!</definedName>
    <definedName name="BREAKERS_20A_8">#REF!</definedName>
    <definedName name="BREAKERS_20A_9">#REF!</definedName>
    <definedName name="BREAKERS_30A" localSheetId="1">#REF!</definedName>
    <definedName name="BREAKERS_30A">#REF!</definedName>
    <definedName name="BREAKERS_30A_10">#REF!</definedName>
    <definedName name="BREAKERS_30A_11">#REF!</definedName>
    <definedName name="BREAKERS_30A_6">#REF!</definedName>
    <definedName name="BREAKERS_30A_7">#REF!</definedName>
    <definedName name="BREAKERS_30A_8">#REF!</definedName>
    <definedName name="BREAKERS_30A_9">#REF!</definedName>
    <definedName name="BREAKERS_6">#REF!</definedName>
    <definedName name="BREAKERS_7">#REF!</definedName>
    <definedName name="BREAKERS_8">#REF!</definedName>
    <definedName name="BREAKERS_9">#REF!</definedName>
    <definedName name="BRIGADATOPOGRAFICA" localSheetId="1">'[9]M.O.'!$C$9</definedName>
    <definedName name="BRIGADATOPOGRAFICA">'[9]M.O.'!$C$9</definedName>
    <definedName name="BRIGADATOPOGRAFICA_6">#REF!</definedName>
    <definedName name="BVNBVNBV" localSheetId="1">#N/A</definedName>
    <definedName name="BVNBVNBV">'[15]M.O.'!#REF!</definedName>
    <definedName name="BVNBVNBV_6">#REF!</definedName>
    <definedName name="C._ADICIONAL">#N/A</definedName>
    <definedName name="C._ADICIONAL_6">NA()</definedName>
    <definedName name="caballeteasbecto" localSheetId="1">[16]precios!#REF!</definedName>
    <definedName name="caballeteasbecto">[16]precios!#REF!</definedName>
    <definedName name="caballeteasbecto_8">#REF!</definedName>
    <definedName name="caballeteasbeto" localSheetId="1">[16]precios!#REF!</definedName>
    <definedName name="caballeteasbeto">[16]precios!#REF!</definedName>
    <definedName name="caballeteasbeto_8">#REF!</definedName>
    <definedName name="CAJA_2x4_12" localSheetId="1">#REF!</definedName>
    <definedName name="CAJA_2x4_12">#REF!</definedName>
    <definedName name="CAJA_2x4_12_10">#REF!</definedName>
    <definedName name="CAJA_2x4_12_11">#REF!</definedName>
    <definedName name="CAJA_2x4_12_6">#REF!</definedName>
    <definedName name="CAJA_2x4_12_7">#REF!</definedName>
    <definedName name="CAJA_2x4_12_8">#REF!</definedName>
    <definedName name="CAJA_2x4_12_9">#REF!</definedName>
    <definedName name="CAJA_2x4_34" localSheetId="1">#REF!</definedName>
    <definedName name="CAJA_2x4_34">#REF!</definedName>
    <definedName name="CAJA_2x4_34_10">#REF!</definedName>
    <definedName name="CAJA_2x4_34_11">#REF!</definedName>
    <definedName name="CAJA_2x4_34_6">#REF!</definedName>
    <definedName name="CAJA_2x4_34_7">#REF!</definedName>
    <definedName name="CAJA_2x4_34_8">#REF!</definedName>
    <definedName name="CAJA_2x4_34_9">#REF!</definedName>
    <definedName name="CAJA_OCTAGONAL" localSheetId="1">#REF!</definedName>
    <definedName name="CAJA_OCTAGONAL">#REF!</definedName>
    <definedName name="CAJA_OCTAGONAL_10">#REF!</definedName>
    <definedName name="CAJA_OCTAGONAL_11">#REF!</definedName>
    <definedName name="CAJA_OCTAGONAL_6">#REF!</definedName>
    <definedName name="CAJA_OCTAGONAL_7">#REF!</definedName>
    <definedName name="CAJA_OCTAGONAL_8">#REF!</definedName>
    <definedName name="CAJA_OCTAGONAL_9">#REF!</definedName>
    <definedName name="Cal" localSheetId="1">#REF!</definedName>
    <definedName name="Cal">#REF!</definedName>
    <definedName name="Cal_10">#REF!</definedName>
    <definedName name="Cal_11">#REF!</definedName>
    <definedName name="Cal_6">#REF!</definedName>
    <definedName name="Cal_7">#REF!</definedName>
    <definedName name="Cal_8">#REF!</definedName>
    <definedName name="Cal_9">#REF!</definedName>
    <definedName name="CALICHE" localSheetId="1">#REF!</definedName>
    <definedName name="CALICHE">#REF!</definedName>
    <definedName name="CALICHE_10">#REF!</definedName>
    <definedName name="CALICHE_11">#REF!</definedName>
    <definedName name="CALICHE_6">#REF!</definedName>
    <definedName name="CALICHE_7">#REF!</definedName>
    <definedName name="CALICHE_8">#REF!</definedName>
    <definedName name="CALICHE_9">#REF!</definedName>
    <definedName name="CAMION_BOTE" localSheetId="1">#REF!</definedName>
    <definedName name="CAMION_BOTE">#REF!</definedName>
    <definedName name="CAMION_BOTE_10">#REF!</definedName>
    <definedName name="CAMION_BOTE_11">#REF!</definedName>
    <definedName name="CAMION_BOTE_6">#REF!</definedName>
    <definedName name="CAMION_BOTE_7">#REF!</definedName>
    <definedName name="CAMION_BOTE_8">#REF!</definedName>
    <definedName name="CAMION_BOTE_9">#REF!</definedName>
    <definedName name="CARACOL">'[9]M.O.'!#REF!</definedName>
    <definedName name="CARANTEPECHO" localSheetId="1">#REF!</definedName>
    <definedName name="CARANTEPECHO">'[9]M.O.'!#REF!</definedName>
    <definedName name="CARANTEPECHO_6">#REF!</definedName>
    <definedName name="CARANTEPECHO_8">#REF!</definedName>
    <definedName name="CARCOL30" localSheetId="1">#REF!</definedName>
    <definedName name="CARCOL30">'[9]M.O.'!#REF!</definedName>
    <definedName name="CARCOL30_6">#REF!</definedName>
    <definedName name="CARCOL30_8">#REF!</definedName>
    <definedName name="CARCOL50" localSheetId="1">#REF!</definedName>
    <definedName name="CARCOL50">'[9]M.O.'!#REF!</definedName>
    <definedName name="CARCOL50_6">#REF!</definedName>
    <definedName name="CARCOL50_8">#REF!</definedName>
    <definedName name="CARCOL51">'[9]M.O.'!#REF!</definedName>
    <definedName name="CARCOLAMARRE" localSheetId="1">#REF!</definedName>
    <definedName name="CARCOLAMARRE">'[9]M.O.'!#REF!</definedName>
    <definedName name="CARCOLAMARRE_6">#REF!</definedName>
    <definedName name="CARCOLAMARRE_8">#REF!</definedName>
    <definedName name="CARGA_SOCIAL" localSheetId="1">#REF!</definedName>
    <definedName name="CARGA_SOCIAL">#REF!</definedName>
    <definedName name="CARGA_SOCIAL_10">#REF!</definedName>
    <definedName name="CARGA_SOCIAL_11">#REF!</definedName>
    <definedName name="CARGA_SOCIAL_6">#REF!</definedName>
    <definedName name="CARGA_SOCIAL_7">#REF!</definedName>
    <definedName name="CARGA_SOCIAL_8">#REF!</definedName>
    <definedName name="CARGA_SOCIAL_9">#REF!</definedName>
    <definedName name="CARLOSAPLA" localSheetId="1">#REF!</definedName>
    <definedName name="CARLOSAPLA">'[9]M.O.'!#REF!</definedName>
    <definedName name="CARLOSAPLA_6">#REF!</definedName>
    <definedName name="CARLOSAPLA_8">#REF!</definedName>
    <definedName name="CARLOSAVARIASAGUAS" localSheetId="1">#REF!</definedName>
    <definedName name="CARLOSAVARIASAGUAS">'[9]M.O.'!#REF!</definedName>
    <definedName name="CARLOSAVARIASAGUAS_6">#REF!</definedName>
    <definedName name="CARLOSAVARIASAGUAS_8">#REF!</definedName>
    <definedName name="CARMURO" localSheetId="1">#REF!</definedName>
    <definedName name="CARMURO">'[9]M.O.'!#REF!</definedName>
    <definedName name="CARMURO_6">#REF!</definedName>
    <definedName name="CARMURO_8">#REF!</definedName>
    <definedName name="CARP1" localSheetId="1">#REF!</definedName>
    <definedName name="CARP1">[7]INS!#REF!</definedName>
    <definedName name="CARP1_6">#REF!</definedName>
    <definedName name="CARP1_8">#REF!</definedName>
    <definedName name="CARP2" localSheetId="1">#REF!</definedName>
    <definedName name="CARP2">[7]INS!#REF!</definedName>
    <definedName name="CARP2_6">#REF!</definedName>
    <definedName name="CARP2_8">#REF!</definedName>
    <definedName name="CARPDINTEL" localSheetId="1">#REF!</definedName>
    <definedName name="CARPDINTEL">'[9]M.O.'!#REF!</definedName>
    <definedName name="CARPDINTEL_6">#REF!</definedName>
    <definedName name="CARPDINTEL_8">#REF!</definedName>
    <definedName name="CARPINTERIA_COL_PERIMETRO" localSheetId="1">#REF!</definedName>
    <definedName name="CARPINTERIA_COL_PERIMETRO">#REF!</definedName>
    <definedName name="CARPINTERIA_COL_PERIMETRO_10">#REF!</definedName>
    <definedName name="CARPINTERIA_COL_PERIMETRO_11">#REF!</definedName>
    <definedName name="CARPINTERIA_COL_PERIMETRO_6">#REF!</definedName>
    <definedName name="CARPINTERIA_COL_PERIMETRO_7">#REF!</definedName>
    <definedName name="CARPINTERIA_COL_PERIMETRO_8">#REF!</definedName>
    <definedName name="CARPINTERIA_COL_PERIMETRO_9">#REF!</definedName>
    <definedName name="CARPINTERIA_INSTAL_COL_PERIMETRO" localSheetId="1">#REF!</definedName>
    <definedName name="CARPINTERIA_INSTAL_COL_PERIMETRO">#REF!</definedName>
    <definedName name="CARPINTERIA_INSTAL_COL_PERIMETRO_10">#REF!</definedName>
    <definedName name="CARPINTERIA_INSTAL_COL_PERIMETRO_11">#REF!</definedName>
    <definedName name="CARPINTERIA_INSTAL_COL_PERIMETRO_6">#REF!</definedName>
    <definedName name="CARPINTERIA_INSTAL_COL_PERIMETRO_7">#REF!</definedName>
    <definedName name="CARPINTERIA_INSTAL_COL_PERIMETRO_8">#REF!</definedName>
    <definedName name="CARPINTERIA_INSTAL_COL_PERIMETRO_9">#REF!</definedName>
    <definedName name="CARPVIGA2040" localSheetId="1">#REF!</definedName>
    <definedName name="CARPVIGA2040">'[9]M.O.'!#REF!</definedName>
    <definedName name="CARPVIGA2040_6">#REF!</definedName>
    <definedName name="CARPVIGA2040_8">#REF!</definedName>
    <definedName name="CARPVIGA3050" localSheetId="1">#REF!</definedName>
    <definedName name="CARPVIGA3050">'[9]M.O.'!#REF!</definedName>
    <definedName name="CARPVIGA3050_6">#REF!</definedName>
    <definedName name="CARPVIGA3050_8">#REF!</definedName>
    <definedName name="CARPVIGA3060" localSheetId="1">#REF!</definedName>
    <definedName name="CARPVIGA3060">'[9]M.O.'!#REF!</definedName>
    <definedName name="CARPVIGA3060_6">#REF!</definedName>
    <definedName name="CARPVIGA3060_8">#REF!</definedName>
    <definedName name="CARPVIGA4080" localSheetId="1">#REF!</definedName>
    <definedName name="CARPVIGA4080">'[9]M.O.'!#REF!</definedName>
    <definedName name="CARPVIGA4080_6">#REF!</definedName>
    <definedName name="CARPVIGA4080_8">#REF!</definedName>
    <definedName name="CARRAMPA" localSheetId="1">#REF!</definedName>
    <definedName name="CARRAMPA">'[9]M.O.'!#REF!</definedName>
    <definedName name="CARRAMPA_6">#REF!</definedName>
    <definedName name="CARRAMPA_8">#REF!</definedName>
    <definedName name="CARRETILLA" localSheetId="1">#REF!</definedName>
    <definedName name="CARRETILLA">#REF!</definedName>
    <definedName name="CARRETILLA_10">#REF!</definedName>
    <definedName name="CARRETILLA_11">#REF!</definedName>
    <definedName name="CARRETILLA_6">#REF!</definedName>
    <definedName name="CARRETILLA_7">#REF!</definedName>
    <definedName name="CARRETILLA_8">#REF!</definedName>
    <definedName name="CARRETILLA_9">#REF!</definedName>
    <definedName name="CASABE">'[9]M.O.'!#REF!</definedName>
    <definedName name="CASABE_8">#REF!</definedName>
    <definedName name="CASBESTO" localSheetId="1">#REF!</definedName>
    <definedName name="CASBESTO">'[9]M.O.'!#REF!</definedName>
    <definedName name="CASBESTO_6">#REF!</definedName>
    <definedName name="CASBESTO_8">#REF!</definedName>
    <definedName name="CBLOCK10" localSheetId="1">#REF!</definedName>
    <definedName name="CBLOCK10">[7]INS!#REF!</definedName>
    <definedName name="CBLOCK10_6">#REF!</definedName>
    <definedName name="CBLOCK10_8">#REF!</definedName>
    <definedName name="cell">'[17]LISTADO INSUMOS DEL 2000'!$I$29</definedName>
    <definedName name="CEMENTO" localSheetId="1">#REF!</definedName>
    <definedName name="CEMENTO">#REF!</definedName>
    <definedName name="CEMENTO_10">#REF!</definedName>
    <definedName name="CEMENTO_11">#REF!</definedName>
    <definedName name="CEMENTO_6">#REF!</definedName>
    <definedName name="CEMENTO_7">#REF!</definedName>
    <definedName name="CEMENTO_8">#REF!</definedName>
    <definedName name="CEMENTO_9">#REF!</definedName>
    <definedName name="CEMENTO_BLANCO" localSheetId="1">#REF!</definedName>
    <definedName name="CEMENTO_BLANCO">#REF!</definedName>
    <definedName name="CEMENTO_BLANCO_10">#REF!</definedName>
    <definedName name="CEMENTO_BLANCO_11">#REF!</definedName>
    <definedName name="CEMENTO_BLANCO_6">#REF!</definedName>
    <definedName name="CEMENTO_BLANCO_7">#REF!</definedName>
    <definedName name="CEMENTO_BLANCO_8">#REF!</definedName>
    <definedName name="CEMENTO_BLANCO_9">#REF!</definedName>
    <definedName name="CEMENTO_PVC" localSheetId="1">#REF!</definedName>
    <definedName name="CEMENTO_PVC">#REF!</definedName>
    <definedName name="CEMENTO_PVC_10">#REF!</definedName>
    <definedName name="CEMENTO_PVC_11">#REF!</definedName>
    <definedName name="CEMENTO_PVC_6">#REF!</definedName>
    <definedName name="CEMENTO_PVC_7">#REF!</definedName>
    <definedName name="CEMENTO_PVC_8">#REF!</definedName>
    <definedName name="CEMENTO_PVC_9">#REF!</definedName>
    <definedName name="CEN">#REF!</definedName>
    <definedName name="CERAMICA">#REF!</definedName>
    <definedName name="CERAMICA_20x20_BLANCA" localSheetId="1">#REF!</definedName>
    <definedName name="CERAMICA_20x20_BLANCA">#REF!</definedName>
    <definedName name="CERAMICA_20x20_BLANCA_10">#REF!</definedName>
    <definedName name="CERAMICA_20x20_BLANCA_11">#REF!</definedName>
    <definedName name="CERAMICA_20x20_BLANCA_6">#REF!</definedName>
    <definedName name="CERAMICA_20x20_BLANCA_7">#REF!</definedName>
    <definedName name="CERAMICA_20x20_BLANCA_8">#REF!</definedName>
    <definedName name="CERAMICA_20x20_BLANCA_9">#REF!</definedName>
    <definedName name="CERAMICA_ANTIDESLIZANTE" localSheetId="1">#REF!</definedName>
    <definedName name="CERAMICA_ANTIDESLIZANTE">#REF!</definedName>
    <definedName name="CERAMICA_ANTIDESLIZANTE_10">#REF!</definedName>
    <definedName name="CERAMICA_ANTIDESLIZANTE_11">#REF!</definedName>
    <definedName name="CERAMICA_ANTIDESLIZANTE_6">#REF!</definedName>
    <definedName name="CERAMICA_ANTIDESLIZANTE_7">#REF!</definedName>
    <definedName name="CERAMICA_ANTIDESLIZANTE_8">#REF!</definedName>
    <definedName name="CERAMICA_ANTIDESLIZANTE_9">#REF!</definedName>
    <definedName name="CERAMICA_PISOS_40x40" localSheetId="1">#REF!</definedName>
    <definedName name="CERAMICA_PISOS_40x40">#REF!</definedName>
    <definedName name="CERAMICA_PISOS_40x40_10">#REF!</definedName>
    <definedName name="CERAMICA_PISOS_40x40_11">#REF!</definedName>
    <definedName name="CERAMICA_PISOS_40x40_6">#REF!</definedName>
    <definedName name="CERAMICA_PISOS_40x40_7">#REF!</definedName>
    <definedName name="CERAMICA_PISOS_40x40_8">#REF!</definedName>
    <definedName name="CERAMICA_PISOS_40x40_9">#REF!</definedName>
    <definedName name="CHAZO">[14]INSU!$B$104</definedName>
    <definedName name="CHAZOS" localSheetId="1">#REF!</definedName>
    <definedName name="CHAZOS">#REF!</definedName>
    <definedName name="CHAZOS_10">#REF!</definedName>
    <definedName name="CHAZOS_11">#REF!</definedName>
    <definedName name="CHAZOS_6">#REF!</definedName>
    <definedName name="CHAZOS_7">#REF!</definedName>
    <definedName name="CHAZOS_8">#REF!</definedName>
    <definedName name="CHAZOS_9">#REF!</definedName>
    <definedName name="CHEQUE_HORZ_34" localSheetId="1">#REF!</definedName>
    <definedName name="CHEQUE_HORZ_34">#REF!</definedName>
    <definedName name="CHEQUE_HORZ_34_10">#REF!</definedName>
    <definedName name="CHEQUE_HORZ_34_11">#REF!</definedName>
    <definedName name="CHEQUE_HORZ_34_6">#REF!</definedName>
    <definedName name="CHEQUE_HORZ_34_7">#REF!</definedName>
    <definedName name="CHEQUE_HORZ_34_8">#REF!</definedName>
    <definedName name="CHEQUE_HORZ_34_9">#REF!</definedName>
    <definedName name="CHEQUE_VERT_34" localSheetId="1">#REF!</definedName>
    <definedName name="CHEQUE_VERT_34">#REF!</definedName>
    <definedName name="CHEQUE_VERT_34_10">#REF!</definedName>
    <definedName name="CHEQUE_VERT_34_11">#REF!</definedName>
    <definedName name="CHEQUE_VERT_34_6">#REF!</definedName>
    <definedName name="CHEQUE_VERT_34_7">#REF!</definedName>
    <definedName name="CHEQUE_VERT_34_8">#REF!</definedName>
    <definedName name="CHEQUE_VERT_34_9">#REF!</definedName>
    <definedName name="CLAVO_ACERO" localSheetId="1">#REF!</definedName>
    <definedName name="CLAVO_ACERO">[6]INSU!$D$130</definedName>
    <definedName name="CLAVO_ACERO_10">#REF!</definedName>
    <definedName name="CLAVO_ACERO_11">#REF!</definedName>
    <definedName name="CLAVO_ACERO_5">#REF!</definedName>
    <definedName name="CLAVO_ACERO_6">#REF!</definedName>
    <definedName name="CLAVO_ACERO_7">#REF!</definedName>
    <definedName name="CLAVO_ACERO_8">#REF!</definedName>
    <definedName name="CLAVO_ACERO_9">#REF!</definedName>
    <definedName name="CLAVO_CORRIENTE" localSheetId="1">#REF!</definedName>
    <definedName name="CLAVO_CORRIENTE">[6]INSU!$D$131</definedName>
    <definedName name="CLAVO_CORRIENTE_10">#REF!</definedName>
    <definedName name="CLAVO_CORRIENTE_11">#REF!</definedName>
    <definedName name="CLAVO_CORRIENTE_5">#REF!</definedName>
    <definedName name="CLAVO_CORRIENTE_6">#REF!</definedName>
    <definedName name="CLAVO_CORRIENTE_7">#REF!</definedName>
    <definedName name="CLAVO_CORRIENTE_8">#REF!</definedName>
    <definedName name="CLAVO_CORRIENTE_9">#REF!</definedName>
    <definedName name="CLAVO_ZINC" localSheetId="1">#REF!</definedName>
    <definedName name="CLAVO_ZINC">#REF!</definedName>
    <definedName name="CLAVO_ZINC_10">#REF!</definedName>
    <definedName name="CLAVO_ZINC_11">#REF!</definedName>
    <definedName name="CLAVO_ZINC_6">#REF!</definedName>
    <definedName name="CLAVO_ZINC_7">#REF!</definedName>
    <definedName name="CLAVO_ZINC_8">#REF!</definedName>
    <definedName name="CLAVO_ZINC_9">#REF!</definedName>
    <definedName name="clavos" localSheetId="1">#REF!</definedName>
    <definedName name="clavos">#REF!</definedName>
    <definedName name="clavos_6">#REF!</definedName>
    <definedName name="clavos_8">#REF!</definedName>
    <definedName name="CLAVOZINC">[18]INS!$D$767</definedName>
    <definedName name="CODIGO">#N/A</definedName>
    <definedName name="CODIGO_6">NA()</definedName>
    <definedName name="CODO_ACERO_16x25a70" localSheetId="1">#REF!</definedName>
    <definedName name="CODO_ACERO_16x25a70">#REF!</definedName>
    <definedName name="CODO_ACERO_16x25a70_10">#REF!</definedName>
    <definedName name="CODO_ACERO_16x25a70_11">#REF!</definedName>
    <definedName name="CODO_ACERO_16x25a70_6">#REF!</definedName>
    <definedName name="CODO_ACERO_16x25a70_7">#REF!</definedName>
    <definedName name="CODO_ACERO_16x25a70_8">#REF!</definedName>
    <definedName name="CODO_ACERO_16x25a70_9">#REF!</definedName>
    <definedName name="CODO_ACERO_16x25menos" localSheetId="1">#REF!</definedName>
    <definedName name="CODO_ACERO_16x25menos">#REF!</definedName>
    <definedName name="CODO_ACERO_16x25menos_10">#REF!</definedName>
    <definedName name="CODO_ACERO_16x25menos_11">#REF!</definedName>
    <definedName name="CODO_ACERO_16x25menos_6">#REF!</definedName>
    <definedName name="CODO_ACERO_16x25menos_7">#REF!</definedName>
    <definedName name="CODO_ACERO_16x25menos_8">#REF!</definedName>
    <definedName name="CODO_ACERO_16x25menos_9">#REF!</definedName>
    <definedName name="CODO_ACERO_16x45" localSheetId="1">#REF!</definedName>
    <definedName name="CODO_ACERO_16x45">#REF!</definedName>
    <definedName name="CODO_ACERO_16x45_10">#REF!</definedName>
    <definedName name="CODO_ACERO_16x45_11">#REF!</definedName>
    <definedName name="CODO_ACERO_16x45_6">#REF!</definedName>
    <definedName name="CODO_ACERO_16x45_7">#REF!</definedName>
    <definedName name="CODO_ACERO_16x45_8">#REF!</definedName>
    <definedName name="CODO_ACERO_16x45_9">#REF!</definedName>
    <definedName name="CODO_ACERO_16x70mas" localSheetId="1">#REF!</definedName>
    <definedName name="CODO_ACERO_16x70mas">#REF!</definedName>
    <definedName name="CODO_ACERO_16x70mas_10">#REF!</definedName>
    <definedName name="CODO_ACERO_16x70mas_11">#REF!</definedName>
    <definedName name="CODO_ACERO_16x70mas_6">#REF!</definedName>
    <definedName name="CODO_ACERO_16x70mas_7">#REF!</definedName>
    <definedName name="CODO_ACERO_16x70mas_8">#REF!</definedName>
    <definedName name="CODO_ACERO_16x70mas_9">#REF!</definedName>
    <definedName name="CODO_ACERO_16x90" localSheetId="1">#REF!</definedName>
    <definedName name="CODO_ACERO_16x90">#REF!</definedName>
    <definedName name="CODO_ACERO_16x90_10">#REF!</definedName>
    <definedName name="CODO_ACERO_16x90_11">#REF!</definedName>
    <definedName name="CODO_ACERO_16x90_6">#REF!</definedName>
    <definedName name="CODO_ACERO_16x90_7">#REF!</definedName>
    <definedName name="CODO_ACERO_16x90_8">#REF!</definedName>
    <definedName name="CODO_ACERO_16x90_9">#REF!</definedName>
    <definedName name="CODO_ACERO_20x90" localSheetId="1">#REF!</definedName>
    <definedName name="CODO_ACERO_20x90">#REF!</definedName>
    <definedName name="CODO_ACERO_20x90_10">#REF!</definedName>
    <definedName name="CODO_ACERO_20x90_11">#REF!</definedName>
    <definedName name="CODO_ACERO_20x90_6">#REF!</definedName>
    <definedName name="CODO_ACERO_20x90_7">#REF!</definedName>
    <definedName name="CODO_ACERO_20x90_8">#REF!</definedName>
    <definedName name="CODO_ACERO_20x90_9">#REF!</definedName>
    <definedName name="CODO_ACERO_3x45" localSheetId="1">#REF!</definedName>
    <definedName name="CODO_ACERO_3x45">#REF!</definedName>
    <definedName name="CODO_ACERO_3x45_10">#REF!</definedName>
    <definedName name="CODO_ACERO_3x45_11">#REF!</definedName>
    <definedName name="CODO_ACERO_3x45_6">#REF!</definedName>
    <definedName name="CODO_ACERO_3x45_7">#REF!</definedName>
    <definedName name="CODO_ACERO_3x45_8">#REF!</definedName>
    <definedName name="CODO_ACERO_3x45_9">#REF!</definedName>
    <definedName name="CODO_ACERO_3x90" localSheetId="1">#REF!</definedName>
    <definedName name="CODO_ACERO_3x90">#REF!</definedName>
    <definedName name="CODO_ACERO_3x90_10">#REF!</definedName>
    <definedName name="CODO_ACERO_3x90_11">#REF!</definedName>
    <definedName name="CODO_ACERO_3x90_6">#REF!</definedName>
    <definedName name="CODO_ACERO_3x90_7">#REF!</definedName>
    <definedName name="CODO_ACERO_3x90_8">#REF!</definedName>
    <definedName name="CODO_ACERO_3x90_9">#REF!</definedName>
    <definedName name="CODO_ACERO_4X45" localSheetId="1">#REF!</definedName>
    <definedName name="CODO_ACERO_4X45">#REF!</definedName>
    <definedName name="CODO_ACERO_4X45_10">#REF!</definedName>
    <definedName name="CODO_ACERO_4X45_11">#REF!</definedName>
    <definedName name="CODO_ACERO_4X45_6">#REF!</definedName>
    <definedName name="CODO_ACERO_4X45_7">#REF!</definedName>
    <definedName name="CODO_ACERO_4X45_8">#REF!</definedName>
    <definedName name="CODO_ACERO_4X45_9">#REF!</definedName>
    <definedName name="CODO_ACERO_4X90" localSheetId="1">#REF!</definedName>
    <definedName name="CODO_ACERO_4X90">#REF!</definedName>
    <definedName name="CODO_ACERO_4X90_10">#REF!</definedName>
    <definedName name="CODO_ACERO_4X90_11">#REF!</definedName>
    <definedName name="CODO_ACERO_4X90_6">#REF!</definedName>
    <definedName name="CODO_ACERO_4X90_7">#REF!</definedName>
    <definedName name="CODO_ACERO_4X90_8">#REF!</definedName>
    <definedName name="CODO_ACERO_4X90_9">#REF!</definedName>
    <definedName name="CODO_ACERO_6x25a70" localSheetId="1">#REF!</definedName>
    <definedName name="CODO_ACERO_6x25a70">#REF!</definedName>
    <definedName name="CODO_ACERO_6x25a70_10">#REF!</definedName>
    <definedName name="CODO_ACERO_6x25a70_11">#REF!</definedName>
    <definedName name="CODO_ACERO_6x25a70_6">#REF!</definedName>
    <definedName name="CODO_ACERO_6x25a70_7">#REF!</definedName>
    <definedName name="CODO_ACERO_6x25a70_8">#REF!</definedName>
    <definedName name="CODO_ACERO_6x25a70_9">#REF!</definedName>
    <definedName name="CODO_ACERO_6x25menos" localSheetId="1">#REF!</definedName>
    <definedName name="CODO_ACERO_6x25menos">#REF!</definedName>
    <definedName name="CODO_ACERO_6x25menos_10">#REF!</definedName>
    <definedName name="CODO_ACERO_6x25menos_11">#REF!</definedName>
    <definedName name="CODO_ACERO_6x25menos_6">#REF!</definedName>
    <definedName name="CODO_ACERO_6x25menos_7">#REF!</definedName>
    <definedName name="CODO_ACERO_6x25menos_8">#REF!</definedName>
    <definedName name="CODO_ACERO_6x25menos_9">#REF!</definedName>
    <definedName name="CODO_ACERO_6x70mas" localSheetId="1">#REF!</definedName>
    <definedName name="CODO_ACERO_6x70mas">#REF!</definedName>
    <definedName name="CODO_ACERO_6x70mas_10">#REF!</definedName>
    <definedName name="CODO_ACERO_6x70mas_11">#REF!</definedName>
    <definedName name="CODO_ACERO_6x70mas_6">#REF!</definedName>
    <definedName name="CODO_ACERO_6x70mas_7">#REF!</definedName>
    <definedName name="CODO_ACERO_6x70mas_8">#REF!</definedName>
    <definedName name="CODO_ACERO_6x70mas_9">#REF!</definedName>
    <definedName name="CODO_ACERO_8x25a70" localSheetId="1">#REF!</definedName>
    <definedName name="CODO_ACERO_8x25a70">#REF!</definedName>
    <definedName name="CODO_ACERO_8x25a70_10">#REF!</definedName>
    <definedName name="CODO_ACERO_8x25a70_11">#REF!</definedName>
    <definedName name="CODO_ACERO_8x25a70_6">#REF!</definedName>
    <definedName name="CODO_ACERO_8x25a70_7">#REF!</definedName>
    <definedName name="CODO_ACERO_8x25a70_8">#REF!</definedName>
    <definedName name="CODO_ACERO_8x25a70_9">#REF!</definedName>
    <definedName name="CODO_ACERO_8x25menos" localSheetId="1">#REF!</definedName>
    <definedName name="CODO_ACERO_8x25menos">#REF!</definedName>
    <definedName name="CODO_ACERO_8x25menos_10">#REF!</definedName>
    <definedName name="CODO_ACERO_8x25menos_11">#REF!</definedName>
    <definedName name="CODO_ACERO_8x25menos_6">#REF!</definedName>
    <definedName name="CODO_ACERO_8x25menos_7">#REF!</definedName>
    <definedName name="CODO_ACERO_8x25menos_8">#REF!</definedName>
    <definedName name="CODO_ACERO_8x25menos_9">#REF!</definedName>
    <definedName name="CODO_ACERO_8x45" localSheetId="1">#REF!</definedName>
    <definedName name="CODO_ACERO_8x45">#REF!</definedName>
    <definedName name="CODO_ACERO_8x45_10">#REF!</definedName>
    <definedName name="CODO_ACERO_8x45_11">#REF!</definedName>
    <definedName name="CODO_ACERO_8x45_6">#REF!</definedName>
    <definedName name="CODO_ACERO_8x45_7">#REF!</definedName>
    <definedName name="CODO_ACERO_8x45_8">#REF!</definedName>
    <definedName name="CODO_ACERO_8x45_9">#REF!</definedName>
    <definedName name="CODO_ACERO_8x70mas" localSheetId="1">#REF!</definedName>
    <definedName name="CODO_ACERO_8x70mas">#REF!</definedName>
    <definedName name="CODO_ACERO_8x70mas_10">#REF!</definedName>
    <definedName name="CODO_ACERO_8x70mas_11">#REF!</definedName>
    <definedName name="CODO_ACERO_8x70mas_6">#REF!</definedName>
    <definedName name="CODO_ACERO_8x70mas_7">#REF!</definedName>
    <definedName name="CODO_ACERO_8x70mas_8">#REF!</definedName>
    <definedName name="CODO_ACERO_8x70mas_9">#REF!</definedName>
    <definedName name="CODO_ACERO_8x90" localSheetId="1">#REF!</definedName>
    <definedName name="CODO_ACERO_8x90">#REF!</definedName>
    <definedName name="CODO_ACERO_8x90_10">#REF!</definedName>
    <definedName name="CODO_ACERO_8x90_11">#REF!</definedName>
    <definedName name="CODO_ACERO_8x90_6">#REF!</definedName>
    <definedName name="CODO_ACERO_8x90_7">#REF!</definedName>
    <definedName name="CODO_ACERO_8x90_8">#REF!</definedName>
    <definedName name="CODO_ACERO_8x90_9">#REF!</definedName>
    <definedName name="CODO_CPVC_12x90" localSheetId="1">#REF!</definedName>
    <definedName name="CODO_CPVC_12x90">#REF!</definedName>
    <definedName name="CODO_CPVC_12x90_10">#REF!</definedName>
    <definedName name="CODO_CPVC_12x90_11">#REF!</definedName>
    <definedName name="CODO_CPVC_12x90_6">#REF!</definedName>
    <definedName name="CODO_CPVC_12x90_7">#REF!</definedName>
    <definedName name="CODO_CPVC_12x90_8">#REF!</definedName>
    <definedName name="CODO_CPVC_12x90_9">#REF!</definedName>
    <definedName name="CODO_ELEC_1" localSheetId="1">#REF!</definedName>
    <definedName name="CODO_ELEC_1">#REF!</definedName>
    <definedName name="CODO_ELEC_1_10">#REF!</definedName>
    <definedName name="CODO_ELEC_1_11">#REF!</definedName>
    <definedName name="CODO_ELEC_1_6">#REF!</definedName>
    <definedName name="CODO_ELEC_1_7">#REF!</definedName>
    <definedName name="CODO_ELEC_1_8">#REF!</definedName>
    <definedName name="CODO_ELEC_1_9">#REF!</definedName>
    <definedName name="CODO_ELEC_12" localSheetId="1">#REF!</definedName>
    <definedName name="CODO_ELEC_12">#REF!</definedName>
    <definedName name="CODO_ELEC_12_10">#REF!</definedName>
    <definedName name="CODO_ELEC_12_11">#REF!</definedName>
    <definedName name="CODO_ELEC_12_6">#REF!</definedName>
    <definedName name="CODO_ELEC_12_7">#REF!</definedName>
    <definedName name="CODO_ELEC_12_8">#REF!</definedName>
    <definedName name="CODO_ELEC_12_9">#REF!</definedName>
    <definedName name="CODO_ELEC_1y12" localSheetId="1">#REF!</definedName>
    <definedName name="CODO_ELEC_1y12">#REF!</definedName>
    <definedName name="CODO_ELEC_1y12_10">#REF!</definedName>
    <definedName name="CODO_ELEC_1y12_11">#REF!</definedName>
    <definedName name="CODO_ELEC_1y12_6">#REF!</definedName>
    <definedName name="CODO_ELEC_1y12_7">#REF!</definedName>
    <definedName name="CODO_ELEC_1y12_8">#REF!</definedName>
    <definedName name="CODO_ELEC_1y12_9">#REF!</definedName>
    <definedName name="CODO_ELEC_2" localSheetId="1">#REF!</definedName>
    <definedName name="CODO_ELEC_2">#REF!</definedName>
    <definedName name="CODO_ELEC_2_10">#REF!</definedName>
    <definedName name="CODO_ELEC_2_11">#REF!</definedName>
    <definedName name="CODO_ELEC_2_6">#REF!</definedName>
    <definedName name="CODO_ELEC_2_7">#REF!</definedName>
    <definedName name="CODO_ELEC_2_8">#REF!</definedName>
    <definedName name="CODO_ELEC_2_9">#REF!</definedName>
    <definedName name="CODO_ELEC_34" localSheetId="1">#REF!</definedName>
    <definedName name="CODO_ELEC_34">#REF!</definedName>
    <definedName name="CODO_ELEC_34_10">#REF!</definedName>
    <definedName name="CODO_ELEC_34_11">#REF!</definedName>
    <definedName name="CODO_ELEC_34_6">#REF!</definedName>
    <definedName name="CODO_ELEC_34_7">#REF!</definedName>
    <definedName name="CODO_ELEC_34_8">#REF!</definedName>
    <definedName name="CODO_ELEC_34_9">#REF!</definedName>
    <definedName name="CODO_HG_1_12_x90" localSheetId="1">#REF!</definedName>
    <definedName name="CODO_HG_1_12_x90">#REF!</definedName>
    <definedName name="CODO_HG_1_12_x90_10">#REF!</definedName>
    <definedName name="CODO_HG_1_12_x90_11">#REF!</definedName>
    <definedName name="CODO_HG_1_12_x90_6">#REF!</definedName>
    <definedName name="CODO_HG_1_12_x90_7">#REF!</definedName>
    <definedName name="CODO_HG_1_12_x90_8">#REF!</definedName>
    <definedName name="CODO_HG_1_12_x90_9">#REF!</definedName>
    <definedName name="CODO_HG_12x90" localSheetId="1">#REF!</definedName>
    <definedName name="CODO_HG_12x90">#REF!</definedName>
    <definedName name="CODO_HG_12x90_10">#REF!</definedName>
    <definedName name="CODO_HG_12x90_11">#REF!</definedName>
    <definedName name="CODO_HG_12x90_6">#REF!</definedName>
    <definedName name="CODO_HG_12x90_7">#REF!</definedName>
    <definedName name="CODO_HG_12x90_8">#REF!</definedName>
    <definedName name="CODO_HG_12x90_9">#REF!</definedName>
    <definedName name="CODO_HG_1x90" localSheetId="1">#REF!</definedName>
    <definedName name="CODO_HG_1x90">#REF!</definedName>
    <definedName name="CODO_HG_1x90_10">#REF!</definedName>
    <definedName name="CODO_HG_1x90_11">#REF!</definedName>
    <definedName name="CODO_HG_1x90_6">#REF!</definedName>
    <definedName name="CODO_HG_1x90_7">#REF!</definedName>
    <definedName name="CODO_HG_1x90_8">#REF!</definedName>
    <definedName name="CODO_HG_1x90_9">#REF!</definedName>
    <definedName name="CODO_HG_1y12x90" localSheetId="1">#REF!</definedName>
    <definedName name="CODO_HG_1y12x90">#REF!</definedName>
    <definedName name="CODO_HG_1y12x90_10">#REF!</definedName>
    <definedName name="CODO_HG_1y12x90_11">#REF!</definedName>
    <definedName name="CODO_HG_1y12x90_6">#REF!</definedName>
    <definedName name="CODO_HG_1y12x90_7">#REF!</definedName>
    <definedName name="CODO_HG_1y12x90_8">#REF!</definedName>
    <definedName name="CODO_HG_1y12x90_9">#REF!</definedName>
    <definedName name="CODO_HG_2x90" localSheetId="1">#REF!</definedName>
    <definedName name="CODO_HG_2x90">#REF!</definedName>
    <definedName name="CODO_HG_2x90_10">#REF!</definedName>
    <definedName name="CODO_HG_2x90_11">#REF!</definedName>
    <definedName name="CODO_HG_2x90_6">#REF!</definedName>
    <definedName name="CODO_HG_2x90_7">#REF!</definedName>
    <definedName name="CODO_HG_2x90_8">#REF!</definedName>
    <definedName name="CODO_HG_2x90_9">#REF!</definedName>
    <definedName name="CODO_HG_34x90" localSheetId="1">#REF!</definedName>
    <definedName name="CODO_HG_34x90">#REF!</definedName>
    <definedName name="CODO_HG_34x90_10">#REF!</definedName>
    <definedName name="CODO_HG_34x90_11">#REF!</definedName>
    <definedName name="CODO_HG_34x90_6">#REF!</definedName>
    <definedName name="CODO_HG_34x90_7">#REF!</definedName>
    <definedName name="CODO_HG_34x90_8">#REF!</definedName>
    <definedName name="CODO_HG_34x90_9">#REF!</definedName>
    <definedName name="CODO_PVC_DRE_2x45" localSheetId="1">#REF!</definedName>
    <definedName name="CODO_PVC_DRE_2x45">#REF!</definedName>
    <definedName name="CODO_PVC_DRE_2x45_10">#REF!</definedName>
    <definedName name="CODO_PVC_DRE_2x45_11">#REF!</definedName>
    <definedName name="CODO_PVC_DRE_2x45_6">#REF!</definedName>
    <definedName name="CODO_PVC_DRE_2x45_7">#REF!</definedName>
    <definedName name="CODO_PVC_DRE_2x45_8">#REF!</definedName>
    <definedName name="CODO_PVC_DRE_2x45_9">#REF!</definedName>
    <definedName name="CODO_PVC_DRE_2x90" localSheetId="1">#REF!</definedName>
    <definedName name="CODO_PVC_DRE_2x90">#REF!</definedName>
    <definedName name="CODO_PVC_DRE_2x90_10">#REF!</definedName>
    <definedName name="CODO_PVC_DRE_2x90_11">#REF!</definedName>
    <definedName name="CODO_PVC_DRE_2x90_6">#REF!</definedName>
    <definedName name="CODO_PVC_DRE_2x90_7">#REF!</definedName>
    <definedName name="CODO_PVC_DRE_2x90_8">#REF!</definedName>
    <definedName name="CODO_PVC_DRE_2x90_9">#REF!</definedName>
    <definedName name="CODO_PVC_DRE_3x45" localSheetId="1">#REF!</definedName>
    <definedName name="CODO_PVC_DRE_3x45">#REF!</definedName>
    <definedName name="CODO_PVC_DRE_3x45_10">#REF!</definedName>
    <definedName name="CODO_PVC_DRE_3x45_11">#REF!</definedName>
    <definedName name="CODO_PVC_DRE_3x45_6">#REF!</definedName>
    <definedName name="CODO_PVC_DRE_3x45_7">#REF!</definedName>
    <definedName name="CODO_PVC_DRE_3x45_8">#REF!</definedName>
    <definedName name="CODO_PVC_DRE_3x45_9">#REF!</definedName>
    <definedName name="CODO_PVC_DRE_3x90" localSheetId="1">#REF!</definedName>
    <definedName name="CODO_PVC_DRE_3x90">#REF!</definedName>
    <definedName name="CODO_PVC_DRE_3x90_10">#REF!</definedName>
    <definedName name="CODO_PVC_DRE_3x90_11">#REF!</definedName>
    <definedName name="CODO_PVC_DRE_3x90_6">#REF!</definedName>
    <definedName name="CODO_PVC_DRE_3x90_7">#REF!</definedName>
    <definedName name="CODO_PVC_DRE_3x90_8">#REF!</definedName>
    <definedName name="CODO_PVC_DRE_3x90_9">#REF!</definedName>
    <definedName name="CODO_PVC_DRE_4x45" localSheetId="1">#REF!</definedName>
    <definedName name="CODO_PVC_DRE_4x45">#REF!</definedName>
    <definedName name="CODO_PVC_DRE_4x45_10">#REF!</definedName>
    <definedName name="CODO_PVC_DRE_4x45_11">#REF!</definedName>
    <definedName name="CODO_PVC_DRE_4x45_6">#REF!</definedName>
    <definedName name="CODO_PVC_DRE_4x45_7">#REF!</definedName>
    <definedName name="CODO_PVC_DRE_4x45_8">#REF!</definedName>
    <definedName name="CODO_PVC_DRE_4x45_9">#REF!</definedName>
    <definedName name="CODO_PVC_DRE_4x90" localSheetId="1">#REF!</definedName>
    <definedName name="CODO_PVC_DRE_4x90">#REF!</definedName>
    <definedName name="CODO_PVC_DRE_4x90_10">#REF!</definedName>
    <definedName name="CODO_PVC_DRE_4x90_11">#REF!</definedName>
    <definedName name="CODO_PVC_DRE_4x90_6">#REF!</definedName>
    <definedName name="CODO_PVC_DRE_4x90_7">#REF!</definedName>
    <definedName name="CODO_PVC_DRE_4x90_8">#REF!</definedName>
    <definedName name="CODO_PVC_DRE_4x90_9">#REF!</definedName>
    <definedName name="CODO_PVC_PRES_12x90" localSheetId="1">#REF!</definedName>
    <definedName name="CODO_PVC_PRES_12x90">#REF!</definedName>
    <definedName name="CODO_PVC_PRES_12x90_10">#REF!</definedName>
    <definedName name="CODO_PVC_PRES_12x90_11">#REF!</definedName>
    <definedName name="CODO_PVC_PRES_12x90_6">#REF!</definedName>
    <definedName name="CODO_PVC_PRES_12x90_7">#REF!</definedName>
    <definedName name="CODO_PVC_PRES_12x90_8">#REF!</definedName>
    <definedName name="CODO_PVC_PRES_12x90_9">#REF!</definedName>
    <definedName name="CODO_PVC_PRES_1x90" localSheetId="1">#REF!</definedName>
    <definedName name="CODO_PVC_PRES_1x90">#REF!</definedName>
    <definedName name="CODO_PVC_PRES_1x90_10">#REF!</definedName>
    <definedName name="CODO_PVC_PRES_1x90_11">#REF!</definedName>
    <definedName name="CODO_PVC_PRES_1x90_6">#REF!</definedName>
    <definedName name="CODO_PVC_PRES_1x90_7">#REF!</definedName>
    <definedName name="CODO_PVC_PRES_1x90_8">#REF!</definedName>
    <definedName name="CODO_PVC_PRES_1x90_9">#REF!</definedName>
    <definedName name="COLA_EXT_LAVAMANOS_PVC_1_14x8" localSheetId="1">#REF!</definedName>
    <definedName name="COLA_EXT_LAVAMANOS_PVC_1_14x8">#REF!</definedName>
    <definedName name="COLA_EXT_LAVAMANOS_PVC_1_14x8_10">#REF!</definedName>
    <definedName name="COLA_EXT_LAVAMANOS_PVC_1_14x8_11">#REF!</definedName>
    <definedName name="COLA_EXT_LAVAMANOS_PVC_1_14x8_6">#REF!</definedName>
    <definedName name="COLA_EXT_LAVAMANOS_PVC_1_14x8_7">#REF!</definedName>
    <definedName name="COLA_EXT_LAVAMANOS_PVC_1_14x8_8">#REF!</definedName>
    <definedName name="COLA_EXT_LAVAMANOS_PVC_1_14x8_9">#REF!</definedName>
    <definedName name="COLC1" localSheetId="1">#REF!</definedName>
    <definedName name="COLC1">#REF!</definedName>
    <definedName name="COLC1_6">#REF!</definedName>
    <definedName name="COLC2" localSheetId="1">#REF!</definedName>
    <definedName name="COLC2">#REF!</definedName>
    <definedName name="COLC2_6">#REF!</definedName>
    <definedName name="COLC3CIR" localSheetId="1">#REF!</definedName>
    <definedName name="COLC3CIR">#REF!</definedName>
    <definedName name="COLC3CIR_6">#REF!</definedName>
    <definedName name="COLC4" localSheetId="1">#REF!</definedName>
    <definedName name="COLC4">#REF!</definedName>
    <definedName name="COLC4_6">#REF!</definedName>
    <definedName name="COLOC_BLOCK4" localSheetId="1">#REF!</definedName>
    <definedName name="COLOC_BLOCK4">#REF!</definedName>
    <definedName name="COLOC_BLOCK4_10">#REF!</definedName>
    <definedName name="COLOC_BLOCK4_11">#REF!</definedName>
    <definedName name="COLOC_BLOCK4_6">#REF!</definedName>
    <definedName name="COLOC_BLOCK4_7">#REF!</definedName>
    <definedName name="COLOC_BLOCK4_8">#REF!</definedName>
    <definedName name="COLOC_BLOCK4_9">#REF!</definedName>
    <definedName name="COLOC_BLOCK6" localSheetId="1">#REF!</definedName>
    <definedName name="COLOC_BLOCK6">#REF!</definedName>
    <definedName name="COLOC_BLOCK6_10">#REF!</definedName>
    <definedName name="COLOC_BLOCK6_11">#REF!</definedName>
    <definedName name="COLOC_BLOCK6_6">#REF!</definedName>
    <definedName name="COLOC_BLOCK6_7">#REF!</definedName>
    <definedName name="COLOC_BLOCK6_8">#REF!</definedName>
    <definedName name="COLOC_BLOCK6_9">#REF!</definedName>
    <definedName name="COLOC_BLOCK8" localSheetId="1">#REF!</definedName>
    <definedName name="COLOC_BLOCK8">#REF!</definedName>
    <definedName name="COLOC_BLOCK8_10">#REF!</definedName>
    <definedName name="COLOC_BLOCK8_11">#REF!</definedName>
    <definedName name="COLOC_BLOCK8_6">#REF!</definedName>
    <definedName name="COLOC_BLOCK8_7">#REF!</definedName>
    <definedName name="COLOC_BLOCK8_8">#REF!</definedName>
    <definedName name="COLOC_BLOCK8_9">#REF!</definedName>
    <definedName name="COLOC_TUB_PEAD_16" localSheetId="1">#REF!</definedName>
    <definedName name="COLOC_TUB_PEAD_16">#REF!</definedName>
    <definedName name="COLOC_TUB_PEAD_16_10">#REF!</definedName>
    <definedName name="COLOC_TUB_PEAD_16_11">#REF!</definedName>
    <definedName name="COLOC_TUB_PEAD_16_6">#REF!</definedName>
    <definedName name="COLOC_TUB_PEAD_16_7">#REF!</definedName>
    <definedName name="COLOC_TUB_PEAD_16_8">#REF!</definedName>
    <definedName name="COLOC_TUB_PEAD_16_9">#REF!</definedName>
    <definedName name="COLOC_TUB_PEAD_20" localSheetId="1">#REF!</definedName>
    <definedName name="COLOC_TUB_PEAD_20">#REF!</definedName>
    <definedName name="COLOC_TUB_PEAD_20_10">#REF!</definedName>
    <definedName name="COLOC_TUB_PEAD_20_11">#REF!</definedName>
    <definedName name="COLOC_TUB_PEAD_20_6">#REF!</definedName>
    <definedName name="COLOC_TUB_PEAD_20_7">#REF!</definedName>
    <definedName name="COLOC_TUB_PEAD_20_8">#REF!</definedName>
    <definedName name="COLOC_TUB_PEAD_20_9">#REF!</definedName>
    <definedName name="COLOC_TUB_PEAD_8" localSheetId="1">#REF!</definedName>
    <definedName name="COLOC_TUB_PEAD_8">#REF!</definedName>
    <definedName name="COLOC_TUB_PEAD_8_10">#REF!</definedName>
    <definedName name="COLOC_TUB_PEAD_8_11">#REF!</definedName>
    <definedName name="COLOC_TUB_PEAD_8_6">#REF!</definedName>
    <definedName name="COLOC_TUB_PEAD_8_7">#REF!</definedName>
    <definedName name="COLOC_TUB_PEAD_8_8">#REF!</definedName>
    <definedName name="COLOC_TUB_PEAD_8_9">#REF!</definedName>
    <definedName name="COMPRESOR" localSheetId="1">#REF!</definedName>
    <definedName name="COMPRESOR">#REF!</definedName>
    <definedName name="COMPRESOR_10">#REF!</definedName>
    <definedName name="COMPRESOR_11">#REF!</definedName>
    <definedName name="COMPRESOR_6">#REF!</definedName>
    <definedName name="COMPRESOR_7">#REF!</definedName>
    <definedName name="COMPRESOR_8">#REF!</definedName>
    <definedName name="COMPRESOR_9">#REF!</definedName>
    <definedName name="COMPUERTA_1x1_VOLANTA" localSheetId="1">#REF!</definedName>
    <definedName name="COMPUERTA_1x1_VOLANTA">#REF!</definedName>
    <definedName name="COMPUERTA_1x1_VOLANTA_10">#REF!</definedName>
    <definedName name="COMPUERTA_1x1_VOLANTA_11">#REF!</definedName>
    <definedName name="COMPUERTA_1x1_VOLANTA_6">#REF!</definedName>
    <definedName name="COMPUERTA_1x1_VOLANTA_7">#REF!</definedName>
    <definedName name="COMPUERTA_1x1_VOLANTA_8">#REF!</definedName>
    <definedName name="COMPUERTA_1x1_VOLANTA_9">#REF!</definedName>
    <definedName name="CONTEN" localSheetId="1">#REF!</definedName>
    <definedName name="CONTEN">#REF!</definedName>
    <definedName name="CONTEN_10">#REF!</definedName>
    <definedName name="CONTEN_11">#REF!</definedName>
    <definedName name="CONTEN_6">#REF!</definedName>
    <definedName name="CONTEN_7">#REF!</definedName>
    <definedName name="CONTEN_8">#REF!</definedName>
    <definedName name="CONTEN_9">#REF!</definedName>
    <definedName name="COPIA">[7]INS!#REF!</definedName>
    <definedName name="COPIA_8">#REF!</definedName>
    <definedName name="CRUZ_HG_1_12" localSheetId="1">#REF!</definedName>
    <definedName name="CRUZ_HG_1_12">#REF!</definedName>
    <definedName name="CRUZ_HG_1_12_10">#REF!</definedName>
    <definedName name="CRUZ_HG_1_12_11">#REF!</definedName>
    <definedName name="CRUZ_HG_1_12_6">#REF!</definedName>
    <definedName name="CRUZ_HG_1_12_7">#REF!</definedName>
    <definedName name="CRUZ_HG_1_12_8">#REF!</definedName>
    <definedName name="CRUZ_HG_1_12_9">#REF!</definedName>
    <definedName name="cuadro" localSheetId="1">[13]ADDENDA!#REF!</definedName>
    <definedName name="cuadro">[13]ADDENDA!#REF!</definedName>
    <definedName name="cuadro_6">#REF!</definedName>
    <definedName name="cuadro_8">#REF!</definedName>
    <definedName name="CUBETA_5Gls" localSheetId="1">#REF!</definedName>
    <definedName name="CUBETA_5Gls">#REF!</definedName>
    <definedName name="CUBETA_5Gls_10">#REF!</definedName>
    <definedName name="CUBETA_5Gls_11">#REF!</definedName>
    <definedName name="CUBETA_5Gls_6">#REF!</definedName>
    <definedName name="CUBETA_5Gls_7">#REF!</definedName>
    <definedName name="CUBETA_5Gls_8">#REF!</definedName>
    <definedName name="CUBETA_5Gls_9">#REF!</definedName>
    <definedName name="CUBIC._ANTERIOR">#N/A</definedName>
    <definedName name="CUBIC._ANTERIOR_6">NA()</definedName>
    <definedName name="CUBICACION">#N/A</definedName>
    <definedName name="CUBICACION_6">NA()</definedName>
    <definedName name="CUBICADO">#N/A</definedName>
    <definedName name="CUBICADO_6">NA()</definedName>
    <definedName name="CUBO_GOMA" localSheetId="1">#REF!</definedName>
    <definedName name="CUBO_GOMA">#REF!</definedName>
    <definedName name="CUBO_GOMA_10">#REF!</definedName>
    <definedName name="CUBO_GOMA_11">#REF!</definedName>
    <definedName name="CUBO_GOMA_6">#REF!</definedName>
    <definedName name="CUBO_GOMA_7">#REF!</definedName>
    <definedName name="CUBO_GOMA_8">#REF!</definedName>
    <definedName name="CUBO_GOMA_9">#REF!</definedName>
    <definedName name="CUBREFALTA_INODORO_CROMO_38" localSheetId="1">#REF!</definedName>
    <definedName name="CUBREFALTA_INODORO_CROMO_38">#REF!</definedName>
    <definedName name="CUBREFALTA_INODORO_CROMO_38_10">#REF!</definedName>
    <definedName name="CUBREFALTA_INODORO_CROMO_38_11">#REF!</definedName>
    <definedName name="CUBREFALTA_INODORO_CROMO_38_6">#REF!</definedName>
    <definedName name="CUBREFALTA_INODORO_CROMO_38_7">#REF!</definedName>
    <definedName name="CUBREFALTA_INODORO_CROMO_38_8">#REF!</definedName>
    <definedName name="CUBREFALTA_INODORO_CROMO_38_9">#REF!</definedName>
    <definedName name="CURVA_ELEC_PVC_12" localSheetId="1">#REF!</definedName>
    <definedName name="CURVA_ELEC_PVC_12">#REF!</definedName>
    <definedName name="CURVA_ELEC_PVC_12_10">#REF!</definedName>
    <definedName name="CURVA_ELEC_PVC_12_11">#REF!</definedName>
    <definedName name="CURVA_ELEC_PVC_12_6">#REF!</definedName>
    <definedName name="CURVA_ELEC_PVC_12_7">#REF!</definedName>
    <definedName name="CURVA_ELEC_PVC_12_8">#REF!</definedName>
    <definedName name="CURVA_ELEC_PVC_12_9">#REF!</definedName>
    <definedName name="CURVA_ELEC_PVC_34" localSheetId="1">#REF!</definedName>
    <definedName name="CURVA_ELEC_PVC_34">#REF!</definedName>
    <definedName name="CURVA_ELEC_PVC_34_10">#REF!</definedName>
    <definedName name="CURVA_ELEC_PVC_34_11">#REF!</definedName>
    <definedName name="CURVA_ELEC_PVC_34_6">#REF!</definedName>
    <definedName name="CURVA_ELEC_PVC_34_7">#REF!</definedName>
    <definedName name="CURVA_ELEC_PVC_34_8">#REF!</definedName>
    <definedName name="CURVA_ELEC_PVC_34_9">#REF!</definedName>
    <definedName name="CUT_OUT_100AMP" localSheetId="1">#REF!</definedName>
    <definedName name="CUT_OUT_100AMP">#REF!</definedName>
    <definedName name="CUT_OUT_100AMP_10">#REF!</definedName>
    <definedName name="CUT_OUT_100AMP_11">#REF!</definedName>
    <definedName name="CUT_OUT_100AMP_6">#REF!</definedName>
    <definedName name="CUT_OUT_100AMP_7">#REF!</definedName>
    <definedName name="CUT_OUT_100AMP_8">#REF!</definedName>
    <definedName name="CUT_OUT_100AMP_9">#REF!</definedName>
    <definedName name="CUT_OUT_200AMP" localSheetId="1">#REF!</definedName>
    <definedName name="CUT_OUT_200AMP">#REF!</definedName>
    <definedName name="CUT_OUT_200AMP_10">#REF!</definedName>
    <definedName name="CUT_OUT_200AMP_11">#REF!</definedName>
    <definedName name="CUT_OUT_200AMP_6">#REF!</definedName>
    <definedName name="CUT_OUT_200AMP_7">#REF!</definedName>
    <definedName name="CUT_OUT_200AMP_8">#REF!</definedName>
    <definedName name="CUT_OUT_200AMP_9">#REF!</definedName>
    <definedName name="CZINC" localSheetId="1">#REF!</definedName>
    <definedName name="CZINC">'[9]M.O.'!#REF!</definedName>
    <definedName name="CZINC_6">#REF!</definedName>
    <definedName name="CZINC_8">#REF!</definedName>
    <definedName name="D">#REF!</definedName>
    <definedName name="derop" localSheetId="1">'[12]M.O.'!#REF!</definedName>
    <definedName name="derop">'[12]M.O.'!#REF!</definedName>
    <definedName name="derop_10">#REF!</definedName>
    <definedName name="derop_11">#REF!</definedName>
    <definedName name="derop_5">#REF!</definedName>
    <definedName name="derop_6">#REF!</definedName>
    <definedName name="derop_7">#REF!</definedName>
    <definedName name="derop_8">#REF!</definedName>
    <definedName name="derop_9">#REF!</definedName>
    <definedName name="DERRETIDO_BCO" localSheetId="1">#REF!</definedName>
    <definedName name="DERRETIDO_BCO">#REF!</definedName>
    <definedName name="DERRETIDO_BCO_10">#REF!</definedName>
    <definedName name="DERRETIDO_BCO_11">#REF!</definedName>
    <definedName name="DERRETIDO_BCO_6">#REF!</definedName>
    <definedName name="DERRETIDO_BCO_7">#REF!</definedName>
    <definedName name="DERRETIDO_BCO_8">#REF!</definedName>
    <definedName name="DERRETIDO_BCO_9">#REF!</definedName>
    <definedName name="DESAGUE_DOBLE_FREGADERO_PVC" localSheetId="1">#REF!</definedName>
    <definedName name="DESAGUE_DOBLE_FREGADERO_PVC">#REF!</definedName>
    <definedName name="DESAGUE_DOBLE_FREGADERO_PVC_10">#REF!</definedName>
    <definedName name="DESAGUE_DOBLE_FREGADERO_PVC_11">#REF!</definedName>
    <definedName name="DESAGUE_DOBLE_FREGADERO_PVC_6">#REF!</definedName>
    <definedName name="DESAGUE_DOBLE_FREGADERO_PVC_7">#REF!</definedName>
    <definedName name="DESAGUE_DOBLE_FREGADERO_PVC_8">#REF!</definedName>
    <definedName name="DESAGUE_DOBLE_FREGADERO_PVC_9">#REF!</definedName>
    <definedName name="DESCRIPCION">#N/A</definedName>
    <definedName name="DESCRIPCION_6">NA()</definedName>
    <definedName name="desencofrado" localSheetId="1">#REF!</definedName>
    <definedName name="desencofrado">#REF!</definedName>
    <definedName name="desencofrado_8">#REF!</definedName>
    <definedName name="DESENCOFRADO_COLS" localSheetId="1">#REF!</definedName>
    <definedName name="DESENCOFRADO_COLS">[6]MO!$B$256</definedName>
    <definedName name="DESENCOFRADO_COLS_10">#REF!</definedName>
    <definedName name="DESENCOFRADO_COLS_11">#REF!</definedName>
    <definedName name="DESENCOFRADO_COLS_5">#REF!</definedName>
    <definedName name="DESENCOFRADO_COLS_6">#REF!</definedName>
    <definedName name="DESENCOFRADO_COLS_7">#REF!</definedName>
    <definedName name="DESENCOFRADO_COLS_8">#REF!</definedName>
    <definedName name="DESENCOFRADO_COLS_9">#REF!</definedName>
    <definedName name="DESENCOFRADO_LOSA" localSheetId="1">#REF!</definedName>
    <definedName name="DESENCOFRADO_LOSA">#REF!</definedName>
    <definedName name="DESENCOFRADO_LOSA_10">#REF!</definedName>
    <definedName name="DESENCOFRADO_LOSA_11">#REF!</definedName>
    <definedName name="DESENCOFRADO_LOSA_6">#REF!</definedName>
    <definedName name="DESENCOFRADO_LOSA_7">#REF!</definedName>
    <definedName name="DESENCOFRADO_LOSA_8">#REF!</definedName>
    <definedName name="DESENCOFRADO_LOSA_9">#REF!</definedName>
    <definedName name="DESENCOFRADO_MURO" localSheetId="1">#REF!</definedName>
    <definedName name="DESENCOFRADO_MURO">#REF!</definedName>
    <definedName name="DESENCOFRADO_MURO_10">#REF!</definedName>
    <definedName name="DESENCOFRADO_MURO_11">#REF!</definedName>
    <definedName name="DESENCOFRADO_MURO_6">#REF!</definedName>
    <definedName name="DESENCOFRADO_MURO_7">#REF!</definedName>
    <definedName name="DESENCOFRADO_MURO_8">#REF!</definedName>
    <definedName name="DESENCOFRADO_MURO_9">#REF!</definedName>
    <definedName name="DESENCOFRADO_VIGA" localSheetId="1">#REF!</definedName>
    <definedName name="DESENCOFRADO_VIGA">#REF!</definedName>
    <definedName name="DESENCOFRADO_VIGA_10">#REF!</definedName>
    <definedName name="DESENCOFRADO_VIGA_11">#REF!</definedName>
    <definedName name="DESENCOFRADO_VIGA_6">#REF!</definedName>
    <definedName name="DESENCOFRADO_VIGA_7">#REF!</definedName>
    <definedName name="DESENCOFRADO_VIGA_8">#REF!</definedName>
    <definedName name="DESENCOFRADO_VIGA_9">#REF!</definedName>
    <definedName name="desencofradovigas" localSheetId="1">#REF!</definedName>
    <definedName name="desencofradovigas">#REF!</definedName>
    <definedName name="desencofradovigas_8">#REF!</definedName>
    <definedName name="dfd">#REF!</definedName>
    <definedName name="DIA" localSheetId="1">#REF!</definedName>
    <definedName name="DIA">#REF!</definedName>
    <definedName name="DIA_10">#REF!</definedName>
    <definedName name="DIA_11">#REF!</definedName>
    <definedName name="DIA_6">#REF!</definedName>
    <definedName name="DIA_7">#REF!</definedName>
    <definedName name="DIA_8">#REF!</definedName>
    <definedName name="DIA_9">#REF!</definedName>
    <definedName name="DIOS">#REF!</definedName>
    <definedName name="DISTRIBUCION_DE_AREAS_POR_NIVEL" localSheetId="1">#REF!</definedName>
    <definedName name="DISTRIBUCION_DE_AREAS_POR_NIVEL">#REF!</definedName>
    <definedName name="DISTRIBUCION_DE_AREAS_POR_NIVEL_8">#REF!</definedName>
    <definedName name="donatelo" localSheetId="1">[19]INS!#REF!</definedName>
    <definedName name="donatelo">[19]INS!#REF!</definedName>
    <definedName name="donatelo_10">#REF!</definedName>
    <definedName name="donatelo_11">#REF!</definedName>
    <definedName name="donatelo_5">#REF!</definedName>
    <definedName name="donatelo_6">#REF!</definedName>
    <definedName name="donatelo_7">#REF!</definedName>
    <definedName name="donatelo_8">#REF!</definedName>
    <definedName name="donatelo_9">#REF!</definedName>
    <definedName name="DUCHA_PLASTICA_CALIENTE_CROMO_12" localSheetId="1">#REF!</definedName>
    <definedName name="DUCHA_PLASTICA_CALIENTE_CROMO_12">#REF!</definedName>
    <definedName name="DUCHA_PLASTICA_CALIENTE_CROMO_12_10">#REF!</definedName>
    <definedName name="DUCHA_PLASTICA_CALIENTE_CROMO_12_11">#REF!</definedName>
    <definedName name="DUCHA_PLASTICA_CALIENTE_CROMO_12_6">#REF!</definedName>
    <definedName name="DUCHA_PLASTICA_CALIENTE_CROMO_12_7">#REF!</definedName>
    <definedName name="DUCHA_PLASTICA_CALIENTE_CROMO_12_8">#REF!</definedName>
    <definedName name="DUCHA_PLASTICA_CALIENTE_CROMO_12_9">#REF!</definedName>
    <definedName name="e">#REF!</definedName>
    <definedName name="EEEEEEEEEEEEEEEEEEEE">#REF!</definedName>
    <definedName name="ELECTRODOS" localSheetId="1">#REF!</definedName>
    <definedName name="ELECTRODOS">#REF!</definedName>
    <definedName name="ELECTRODOS_10">#REF!</definedName>
    <definedName name="ELECTRODOS_11">#REF!</definedName>
    <definedName name="ELECTRODOS_6">#REF!</definedName>
    <definedName name="ELECTRODOS_7">#REF!</definedName>
    <definedName name="ELECTRODOS_8">#REF!</definedName>
    <definedName name="ELECTRODOS_9">#REF!</definedName>
    <definedName name="ELVIRA">#REF!</definedName>
    <definedName name="ENCACHE" localSheetId="1">#REF!</definedName>
    <definedName name="ENCACHE">#REF!</definedName>
    <definedName name="ENCACHE_10">#REF!</definedName>
    <definedName name="ENCACHE_11">#REF!</definedName>
    <definedName name="ENCACHE_6">#REF!</definedName>
    <definedName name="ENCACHE_7">#REF!</definedName>
    <definedName name="ENCACHE_8">#REF!</definedName>
    <definedName name="ENCACHE_9">#REF!</definedName>
    <definedName name="ENCOF_COLS_1" localSheetId="1">#REF!</definedName>
    <definedName name="ENCOF_COLS_1">[6]MO!$B$247</definedName>
    <definedName name="ENCOF_COLS_1_10">#REF!</definedName>
    <definedName name="ENCOF_COLS_1_11">#REF!</definedName>
    <definedName name="ENCOF_COLS_1_5">#REF!</definedName>
    <definedName name="ENCOF_COLS_1_6">#REF!</definedName>
    <definedName name="ENCOF_COLS_1_7">#REF!</definedName>
    <definedName name="ENCOF_COLS_1_8">#REF!</definedName>
    <definedName name="ENCOF_COLS_1_9">#REF!</definedName>
    <definedName name="ENCOF_DES_TC_COL_VIGA_AMARRE" localSheetId="1">#REF!</definedName>
    <definedName name="ENCOF_DES_TC_COL_VIGA_AMARRE">#REF!</definedName>
    <definedName name="ENCOF_DES_TC_COL_VIGA_AMARRE_10">#REF!</definedName>
    <definedName name="ENCOF_DES_TC_COL_VIGA_AMARRE_11">#REF!</definedName>
    <definedName name="ENCOF_DES_TC_COL_VIGA_AMARRE_6">#REF!</definedName>
    <definedName name="ENCOF_DES_TC_COL_VIGA_AMARRE_7">#REF!</definedName>
    <definedName name="ENCOF_DES_TC_COL_VIGA_AMARRE_8">#REF!</definedName>
    <definedName name="ENCOF_DES_TC_COL_VIGA_AMARRE_9">#REF!</definedName>
    <definedName name="ENCOF_DES_TC_COL50" localSheetId="1">#REF!</definedName>
    <definedName name="ENCOF_DES_TC_COL50">#REF!</definedName>
    <definedName name="ENCOF_DES_TC_COL50_10">#REF!</definedName>
    <definedName name="ENCOF_DES_TC_COL50_11">#REF!</definedName>
    <definedName name="ENCOF_DES_TC_COL50_6">#REF!</definedName>
    <definedName name="ENCOF_DES_TC_COL50_7">#REF!</definedName>
    <definedName name="ENCOF_DES_TC_COL50_8">#REF!</definedName>
    <definedName name="ENCOF_DES_TC_COL50_9">#REF!</definedName>
    <definedName name="ENCOF_DES_TC_DINTEL_ML" localSheetId="1">#REF!</definedName>
    <definedName name="ENCOF_DES_TC_DINTEL_ML">#REF!</definedName>
    <definedName name="ENCOF_DES_TC_DINTEL_ML_10">#REF!</definedName>
    <definedName name="ENCOF_DES_TC_DINTEL_ML_11">#REF!</definedName>
    <definedName name="ENCOF_DES_TC_DINTEL_ML_6">#REF!</definedName>
    <definedName name="ENCOF_DES_TC_DINTEL_ML_7">#REF!</definedName>
    <definedName name="ENCOF_DES_TC_DINTEL_ML_8">#REF!</definedName>
    <definedName name="ENCOF_DES_TC_DINTEL_ML_9">#REF!</definedName>
    <definedName name="ENCOF_DES_TC_MUROS" localSheetId="1">#REF!</definedName>
    <definedName name="ENCOF_DES_TC_MUROS">#REF!</definedName>
    <definedName name="ENCOF_DES_TC_MUROS_10">#REF!</definedName>
    <definedName name="ENCOF_DES_TC_MUROS_11">#REF!</definedName>
    <definedName name="ENCOF_DES_TC_MUROS_6">#REF!</definedName>
    <definedName name="ENCOF_DES_TC_MUROS_7">#REF!</definedName>
    <definedName name="ENCOF_DES_TC_MUROS_8">#REF!</definedName>
    <definedName name="ENCOF_DES_TC_MUROS_9">#REF!</definedName>
    <definedName name="ENCOF_TC_LOSA" localSheetId="1">#REF!</definedName>
    <definedName name="ENCOF_TC_LOSA">#REF!</definedName>
    <definedName name="ENCOF_TC_LOSA_10">#REF!</definedName>
    <definedName name="ENCOF_TC_LOSA_11">#REF!</definedName>
    <definedName name="ENCOF_TC_LOSA_6">#REF!</definedName>
    <definedName name="ENCOF_TC_LOSA_7">#REF!</definedName>
    <definedName name="ENCOF_TC_LOSA_8">#REF!</definedName>
    <definedName name="ENCOF_TC_LOSA_9">#REF!</definedName>
    <definedName name="ENCOF_TC_MURO_1" localSheetId="1">#REF!</definedName>
    <definedName name="ENCOF_TC_MURO_1">#REF!</definedName>
    <definedName name="ENCOF_TC_MURO_1_10">#REF!</definedName>
    <definedName name="ENCOF_TC_MURO_1_11">#REF!</definedName>
    <definedName name="ENCOF_TC_MURO_1_6">#REF!</definedName>
    <definedName name="ENCOF_TC_MURO_1_7">#REF!</definedName>
    <definedName name="ENCOF_TC_MURO_1_8">#REF!</definedName>
    <definedName name="ENCOF_TC_MURO_1_9">#REF!</definedName>
    <definedName name="ENCOFRADO_COL_RETALLE_0.10" localSheetId="1">#REF!</definedName>
    <definedName name="ENCOFRADO_COL_RETALLE_0.10">#REF!</definedName>
    <definedName name="ENCOFRADO_COL_RETALLE_0.10_10">#REF!</definedName>
    <definedName name="ENCOFRADO_COL_RETALLE_0.10_11">#REF!</definedName>
    <definedName name="ENCOFRADO_COL_RETALLE_0.10_6">#REF!</definedName>
    <definedName name="ENCOFRADO_COL_RETALLE_0.10_7">#REF!</definedName>
    <definedName name="ENCOFRADO_COL_RETALLE_0.10_8">#REF!</definedName>
    <definedName name="ENCOFRADO_COL_RETALLE_0.10_9">#REF!</definedName>
    <definedName name="ENCOFRADO_ESCALERA" localSheetId="1">#REF!</definedName>
    <definedName name="ENCOFRADO_ESCALERA">#REF!</definedName>
    <definedName name="ENCOFRADO_ESCALERA_10">#REF!</definedName>
    <definedName name="ENCOFRADO_ESCALERA_11">#REF!</definedName>
    <definedName name="ENCOFRADO_ESCALERA_6">#REF!</definedName>
    <definedName name="ENCOFRADO_ESCALERA_7">#REF!</definedName>
    <definedName name="ENCOFRADO_ESCALERA_8">#REF!</definedName>
    <definedName name="ENCOFRADO_ESCALERA_9">#REF!</definedName>
    <definedName name="ENCOFRADO_LOSA" localSheetId="1">#REF!</definedName>
    <definedName name="ENCOFRADO_LOSA">#REF!</definedName>
    <definedName name="ENCOFRADO_LOSA_10">#REF!</definedName>
    <definedName name="ENCOFRADO_LOSA_11">#REF!</definedName>
    <definedName name="ENCOFRADO_LOSA_6">#REF!</definedName>
    <definedName name="ENCOFRADO_LOSA_7">#REF!</definedName>
    <definedName name="ENCOFRADO_LOSA_8">#REF!</definedName>
    <definedName name="ENCOFRADO_LOSA_9">#REF!</definedName>
    <definedName name="ENCOFRADO_MUROS" localSheetId="1">#REF!</definedName>
    <definedName name="ENCOFRADO_MUROS">#REF!</definedName>
    <definedName name="ENCOFRADO_MUROS_10">#REF!</definedName>
    <definedName name="ENCOFRADO_MUROS_11">#REF!</definedName>
    <definedName name="ENCOFRADO_MUROS_6">#REF!</definedName>
    <definedName name="ENCOFRADO_MUROS_7">#REF!</definedName>
    <definedName name="ENCOFRADO_MUROS_8">#REF!</definedName>
    <definedName name="ENCOFRADO_MUROS_9">#REF!</definedName>
    <definedName name="ENCOFRADO_MUROS_CONFECC" localSheetId="1">#REF!</definedName>
    <definedName name="ENCOFRADO_MUROS_CONFECC">#REF!</definedName>
    <definedName name="ENCOFRADO_MUROS_CONFECC_10">#REF!</definedName>
    <definedName name="ENCOFRADO_MUROS_CONFECC_11">#REF!</definedName>
    <definedName name="ENCOFRADO_MUROS_CONFECC_6">#REF!</definedName>
    <definedName name="ENCOFRADO_MUROS_CONFECC_7">#REF!</definedName>
    <definedName name="ENCOFRADO_MUROS_CONFECC_8">#REF!</definedName>
    <definedName name="ENCOFRADO_MUROS_CONFECC_9">#REF!</definedName>
    <definedName name="ENCOFRADO_MUROS_instalacion" localSheetId="1">#REF!</definedName>
    <definedName name="ENCOFRADO_MUROS_instalacion">#REF!</definedName>
    <definedName name="ENCOFRADO_MUROS_instalacion_10">#REF!</definedName>
    <definedName name="ENCOFRADO_MUROS_instalacion_11">#REF!</definedName>
    <definedName name="ENCOFRADO_MUROS_instalacion_6">#REF!</definedName>
    <definedName name="ENCOFRADO_MUROS_instalacion_7">#REF!</definedName>
    <definedName name="ENCOFRADO_MUROS_instalacion_8">#REF!</definedName>
    <definedName name="ENCOFRADO_MUROS_instalacion_9">#REF!</definedName>
    <definedName name="ENCOFRADO_VIGA" localSheetId="1">#REF!</definedName>
    <definedName name="ENCOFRADO_VIGA">#REF!</definedName>
    <definedName name="ENCOFRADO_VIGA_10">#REF!</definedName>
    <definedName name="ENCOFRADO_VIGA_11">#REF!</definedName>
    <definedName name="ENCOFRADO_VIGA_6">#REF!</definedName>
    <definedName name="ENCOFRADO_VIGA_7">#REF!</definedName>
    <definedName name="ENCOFRADO_VIGA_8">#REF!</definedName>
    <definedName name="ENCOFRADO_VIGA_9">#REF!</definedName>
    <definedName name="ENCOFRADO_VIGA_AMARRE_20x20" localSheetId="1">#REF!</definedName>
    <definedName name="ENCOFRADO_VIGA_AMARRE_20x20">#REF!</definedName>
    <definedName name="ENCOFRADO_VIGA_AMARRE_20x20_10">#REF!</definedName>
    <definedName name="ENCOFRADO_VIGA_AMARRE_20x20_11">#REF!</definedName>
    <definedName name="ENCOFRADO_VIGA_AMARRE_20x20_6">#REF!</definedName>
    <definedName name="ENCOFRADO_VIGA_AMARRE_20x20_7">#REF!</definedName>
    <definedName name="ENCOFRADO_VIGA_AMARRE_20x20_8">#REF!</definedName>
    <definedName name="ENCOFRADO_VIGA_AMARRE_20x20_9">#REF!</definedName>
    <definedName name="ENCOFRADO_VIGA_FONDO" localSheetId="1">#REF!</definedName>
    <definedName name="ENCOFRADO_VIGA_FONDO">#REF!</definedName>
    <definedName name="ENCOFRADO_VIGA_FONDO_10">#REF!</definedName>
    <definedName name="ENCOFRADO_VIGA_FONDO_11">#REF!</definedName>
    <definedName name="ENCOFRADO_VIGA_FONDO_6">#REF!</definedName>
    <definedName name="ENCOFRADO_VIGA_FONDO_7">#REF!</definedName>
    <definedName name="ENCOFRADO_VIGA_FONDO_8">#REF!</definedName>
    <definedName name="ENCOFRADO_VIGA_FONDO_9">#REF!</definedName>
    <definedName name="ENCOFRADO_VIGA_GUARDERA" localSheetId="1">#REF!</definedName>
    <definedName name="ENCOFRADO_VIGA_GUARDERA">#REF!</definedName>
    <definedName name="ENCOFRADO_VIGA_GUARDERA_10">#REF!</definedName>
    <definedName name="ENCOFRADO_VIGA_GUARDERA_11">#REF!</definedName>
    <definedName name="ENCOFRADO_VIGA_GUARDERA_6">#REF!</definedName>
    <definedName name="ENCOFRADO_VIGA_GUARDERA_7">#REF!</definedName>
    <definedName name="ENCOFRADO_VIGA_GUARDERA_8">#REF!</definedName>
    <definedName name="ENCOFRADO_VIGA_GUARDERA_9">#REF!</definedName>
    <definedName name="encofradocolumna" localSheetId="1">#REF!</definedName>
    <definedName name="encofradocolumna">#REF!</definedName>
    <definedName name="encofradocolumna_6">#REF!</definedName>
    <definedName name="encofradocolumna_8">#REF!</definedName>
    <definedName name="encofradorampa" localSheetId="1">#REF!</definedName>
    <definedName name="encofradorampa">#REF!</definedName>
    <definedName name="encofradorampa_8">#REF!</definedName>
    <definedName name="ESCALON_17x30" localSheetId="1">#REF!</definedName>
    <definedName name="ESCALON_17x30">#REF!</definedName>
    <definedName name="ESCALON_17x30_10">#REF!</definedName>
    <definedName name="ESCALON_17x30_11">#REF!</definedName>
    <definedName name="ESCALON_17x30_6">#REF!</definedName>
    <definedName name="ESCALON_17x30_7">#REF!</definedName>
    <definedName name="ESCALON_17x30_8">#REF!</definedName>
    <definedName name="ESCALON_17x30_9">#REF!</definedName>
    <definedName name="ESCOBILLON" localSheetId="1">#REF!</definedName>
    <definedName name="ESCOBILLON">#REF!</definedName>
    <definedName name="ESCOBILLON_10">#REF!</definedName>
    <definedName name="ESCOBILLON_11">#REF!</definedName>
    <definedName name="ESCOBILLON_13">#REF!</definedName>
    <definedName name="ESCOBILLON_6">#REF!</definedName>
    <definedName name="ESCOBILLON_7">#REF!</definedName>
    <definedName name="ESCOBILLON_8">#REF!</definedName>
    <definedName name="ESCOBILLON_9">#REF!</definedName>
    <definedName name="ESTAMPADO" localSheetId="1">#REF!</definedName>
    <definedName name="ESTAMPADO">#REF!</definedName>
    <definedName name="ESTAMPADO_10">#REF!</definedName>
    <definedName name="ESTAMPADO_11">#REF!</definedName>
    <definedName name="ESTAMPADO_6">#REF!</definedName>
    <definedName name="ESTAMPADO_7">#REF!</definedName>
    <definedName name="ESTAMPADO_8">#REF!</definedName>
    <definedName name="ESTAMPADO_9">#REF!</definedName>
    <definedName name="ESTOPA" localSheetId="1">#REF!</definedName>
    <definedName name="ESTOPA">#REF!</definedName>
    <definedName name="ESTOPA_10">#REF!</definedName>
    <definedName name="ESTOPA_11">#REF!</definedName>
    <definedName name="ESTOPA_6">#REF!</definedName>
    <definedName name="ESTOPA_7">#REF!</definedName>
    <definedName name="ESTOPA_8">#REF!</definedName>
    <definedName name="ESTOPA_9">#REF!</definedName>
    <definedName name="ETAPA3">#REF!</definedName>
    <definedName name="EXCAVACION">#REF!</definedName>
    <definedName name="Excel_BuiltIn_Extract">#REF!</definedName>
    <definedName name="Excel_BuiltIn_Extract_10">#REF!</definedName>
    <definedName name="Excel_BuiltIn_Extract_11">#REF!</definedName>
    <definedName name="Excel_BuiltIn_Extract_5">#REF!</definedName>
    <definedName name="Excel_BuiltIn_Extract_6">#REF!</definedName>
    <definedName name="Excel_BuiltIn_Extract_7">#REF!</definedName>
    <definedName name="Excel_BuiltIn_Extract_8">#REF!</definedName>
    <definedName name="Excel_BuiltIn_Extract_9">#REF!</definedName>
    <definedName name="Excel_BuiltIn_Print_Area">#REF!</definedName>
    <definedName name="Excel_BuiltIn_Print_Area_13">#REF!</definedName>
    <definedName name="Excel_BuiltIn_Print_Titles">NA()</definedName>
    <definedName name="Excel_BuiltIn_Print_Titles_3">#REF!</definedName>
    <definedName name="expl" localSheetId="1">[13]ADDENDA!#REF!</definedName>
    <definedName name="expl">[13]ADDENDA!#REF!</definedName>
    <definedName name="expl_6">#REF!</definedName>
    <definedName name="expl_8">#REF!</definedName>
    <definedName name="Extracción_IM" localSheetId="1">#REF!</definedName>
    <definedName name="Extracción_IM">[2]CUB02!$S$13:$AN$415</definedName>
    <definedName name="Extracción_IM_10">#REF!</definedName>
    <definedName name="Extracción_IM_11">#REF!</definedName>
    <definedName name="Extracción_IM_5">#REF!</definedName>
    <definedName name="Extracción_IM_6">#REF!</definedName>
    <definedName name="Extracción_IM_7">#REF!</definedName>
    <definedName name="Extracción_IM_8">#REF!</definedName>
    <definedName name="Extracción_IM_9">#REF!</definedName>
    <definedName name="FFFFF">#REF!</definedName>
    <definedName name="FFFFFFFFFFFFFFFFFFFF">#REF!</definedName>
    <definedName name="FIOR">#REF!</definedName>
    <definedName name="FIOR_8">#REF!</definedName>
    <definedName name="fo">#REF!</definedName>
    <definedName name="FREGADERO_DOBLE_ACERO_INOX" localSheetId="1">#REF!</definedName>
    <definedName name="FREGADERO_DOBLE_ACERO_INOX">#REF!</definedName>
    <definedName name="FREGADERO_DOBLE_ACERO_INOX_10">#REF!</definedName>
    <definedName name="FREGADERO_DOBLE_ACERO_INOX_11">#REF!</definedName>
    <definedName name="FREGADERO_DOBLE_ACERO_INOX_6">#REF!</definedName>
    <definedName name="FREGADERO_DOBLE_ACERO_INOX_7">#REF!</definedName>
    <definedName name="FREGADERO_DOBLE_ACERO_INOX_8">#REF!</definedName>
    <definedName name="FREGADERO_DOBLE_ACERO_INOX_9">#REF!</definedName>
    <definedName name="FREGADERO_SENCILLO_ACERO_INOX" localSheetId="1">#REF!</definedName>
    <definedName name="FREGADERO_SENCILLO_ACERO_INOX">#REF!</definedName>
    <definedName name="FREGADERO_SENCILLO_ACERO_INOX_10">#REF!</definedName>
    <definedName name="FREGADERO_SENCILLO_ACERO_INOX_11">#REF!</definedName>
    <definedName name="FREGADERO_SENCILLO_ACERO_INOX_6">#REF!</definedName>
    <definedName name="FREGADERO_SENCILLO_ACERO_INOX_7">#REF!</definedName>
    <definedName name="FREGADERO_SENCILLO_ACERO_INOX_8">#REF!</definedName>
    <definedName name="FREGADERO_SENCILLO_ACERO_INOX_9">#REF!</definedName>
    <definedName name="FSDFS" localSheetId="1">#N/A</definedName>
    <definedName name="FSDFS">#REF!</definedName>
    <definedName name="FSDFS_6">#REF!</definedName>
    <definedName name="GAS_CIL" localSheetId="1">#REF!</definedName>
    <definedName name="GAS_CIL">#REF!</definedName>
    <definedName name="GAS_CIL_10">#REF!</definedName>
    <definedName name="GAS_CIL_11">#REF!</definedName>
    <definedName name="GAS_CIL_6">#REF!</definedName>
    <definedName name="GAS_CIL_7">#REF!</definedName>
    <definedName name="GAS_CIL_8">#REF!</definedName>
    <definedName name="GAS_CIL_9">#REF!</definedName>
    <definedName name="GASOIL" localSheetId="1">#REF!</definedName>
    <definedName name="GASOIL">#REF!</definedName>
    <definedName name="GASOIL_10">#REF!</definedName>
    <definedName name="GASOIL_11">#REF!</definedName>
    <definedName name="GASOIL_6">#REF!</definedName>
    <definedName name="GASOIL_7">#REF!</definedName>
    <definedName name="GASOIL_8">#REF!</definedName>
    <definedName name="GASOIL_9">#REF!</definedName>
    <definedName name="GASOLINA" localSheetId="1">#REF!</definedName>
    <definedName name="GASOLINA">[7]INS!$D$561</definedName>
    <definedName name="GASOLINA_6">#REF!</definedName>
    <definedName name="GAVIONES" localSheetId="1">#REF!</definedName>
    <definedName name="GAVIONES">#REF!</definedName>
    <definedName name="GAVIONES_10">#REF!</definedName>
    <definedName name="GAVIONES_11">#REF!</definedName>
    <definedName name="GAVIONES_6">#REF!</definedName>
    <definedName name="GAVIONES_7">#REF!</definedName>
    <definedName name="GAVIONES_8">#REF!</definedName>
    <definedName name="GAVIONES_9">#REF!</definedName>
    <definedName name="GENERADOR_DIESEL_400KW" localSheetId="1">#REF!</definedName>
    <definedName name="GENERADOR_DIESEL_400KW">#REF!</definedName>
    <definedName name="GENERADOR_DIESEL_400KW_10">#REF!</definedName>
    <definedName name="GENERADOR_DIESEL_400KW_11">#REF!</definedName>
    <definedName name="GENERADOR_DIESEL_400KW_6">#REF!</definedName>
    <definedName name="GENERADOR_DIESEL_400KW_7">#REF!</definedName>
    <definedName name="GENERADOR_DIESEL_400KW_8">#REF!</definedName>
    <definedName name="GENERADOR_DIESEL_400KW_9">#REF!</definedName>
    <definedName name="GGG">#REF!</definedName>
    <definedName name="GRANITO_30x30" localSheetId="1">#REF!</definedName>
    <definedName name="GRANITO_30x30">#REF!</definedName>
    <definedName name="GRANITO_30x30_10">#REF!</definedName>
    <definedName name="GRANITO_30x30_11">#REF!</definedName>
    <definedName name="GRANITO_30x30_6">#REF!</definedName>
    <definedName name="GRANITO_30x30_7">#REF!</definedName>
    <definedName name="GRANITO_30x30_8">#REF!</definedName>
    <definedName name="GRANITO_30x30_9">#REF!</definedName>
    <definedName name="GRANITO_40x40" localSheetId="1">#REF!</definedName>
    <definedName name="GRANITO_40x40">#REF!</definedName>
    <definedName name="GRANITO_40x40_10">#REF!</definedName>
    <definedName name="GRANITO_40x40_11">#REF!</definedName>
    <definedName name="GRANITO_40x40_6">#REF!</definedName>
    <definedName name="GRANITO_40x40_7">#REF!</definedName>
    <definedName name="GRANITO_40x40_8">#REF!</definedName>
    <definedName name="GRANITO_40x40_9">#REF!</definedName>
    <definedName name="GRANITO_FONDO_BCO_30x30" localSheetId="1">#REF!</definedName>
    <definedName name="GRANITO_FONDO_BCO_30x30">#REF!</definedName>
    <definedName name="GRANITO_FONDO_BCO_30x30_10">#REF!</definedName>
    <definedName name="GRANITO_FONDO_BCO_30x30_11">#REF!</definedName>
    <definedName name="GRANITO_FONDO_BCO_30x30_6">#REF!</definedName>
    <definedName name="GRANITO_FONDO_BCO_30x30_7">#REF!</definedName>
    <definedName name="GRANITO_FONDO_BCO_30x30_8">#REF!</definedName>
    <definedName name="GRANITO_FONDO_BCO_30x30_9">#REF!</definedName>
    <definedName name="GRANITO_FONDO_GRIS" localSheetId="1">#REF!</definedName>
    <definedName name="GRANITO_FONDO_GRIS">#REF!</definedName>
    <definedName name="GRANITO_FONDO_GRIS_10">#REF!</definedName>
    <definedName name="GRANITO_FONDO_GRIS_11">#REF!</definedName>
    <definedName name="GRANITO_FONDO_GRIS_6">#REF!</definedName>
    <definedName name="GRANITO_FONDO_GRIS_7">#REF!</definedName>
    <definedName name="GRANITO_FONDO_GRIS_8">#REF!</definedName>
    <definedName name="GRANITO_FONDO_GRIS_9">#REF!</definedName>
    <definedName name="Grava" localSheetId="1">#REF!</definedName>
    <definedName name="Grava">#REF!</definedName>
    <definedName name="Grava_10">#REF!</definedName>
    <definedName name="Grava_11">#REF!</definedName>
    <definedName name="Grava_6">#REF!</definedName>
    <definedName name="Grava_7">#REF!</definedName>
    <definedName name="Grava_8">#REF!</definedName>
    <definedName name="Grava_9">#REF!</definedName>
    <definedName name="GRUA" localSheetId="1">#REF!</definedName>
    <definedName name="GRUA">#REF!</definedName>
    <definedName name="GRUA_10">#REF!</definedName>
    <definedName name="GRUA_11">#REF!</definedName>
    <definedName name="GRUA_20">#REF!</definedName>
    <definedName name="GRUA_6">#REF!</definedName>
    <definedName name="GRUA_7">#REF!</definedName>
    <definedName name="GRUA_8">#REF!</definedName>
    <definedName name="GRUA_9">#REF!</definedName>
    <definedName name="GT">#REF!</definedName>
    <definedName name="H">'[4]M.O.'!#REF!</definedName>
    <definedName name="HACHA" localSheetId="1">#REF!</definedName>
    <definedName name="HACHA">#REF!</definedName>
    <definedName name="HACHA_10">#REF!</definedName>
    <definedName name="HACHA_11">#REF!</definedName>
    <definedName name="HACHA_6">#REF!</definedName>
    <definedName name="HACHA_7">#REF!</definedName>
    <definedName name="HACHA_8">#REF!</definedName>
    <definedName name="HACHA_9">#REF!</definedName>
    <definedName name="HERR_MENO" localSheetId="1">#REF!</definedName>
    <definedName name="HERR_MENO">#REF!</definedName>
    <definedName name="HERR_MENO_10">#REF!</definedName>
    <definedName name="HERR_MENO_11">#REF!</definedName>
    <definedName name="HERR_MENO_6">#REF!</definedName>
    <definedName name="HERR_MENO_7">#REF!</definedName>
    <definedName name="HERR_MENO_8">#REF!</definedName>
    <definedName name="HERR_MENO_9">#REF!</definedName>
    <definedName name="HILO" localSheetId="1">#REF!</definedName>
    <definedName name="HILO">#REF!</definedName>
    <definedName name="HILO_10">#REF!</definedName>
    <definedName name="HILO_11">#REF!</definedName>
    <definedName name="HILO_6">#REF!</definedName>
    <definedName name="HILO_7">#REF!</definedName>
    <definedName name="HILO_8">#REF!</definedName>
    <definedName name="HILO_9">#REF!</definedName>
    <definedName name="Horm_124_TrompoyWinche" localSheetId="1">#REF!</definedName>
    <definedName name="Horm_124_TrompoyWinche">#REF!</definedName>
    <definedName name="Horm_124_TrompoyWinche_10">#REF!</definedName>
    <definedName name="Horm_124_TrompoyWinche_11">#REF!</definedName>
    <definedName name="Horm_124_TrompoyWinche_6">#REF!</definedName>
    <definedName name="Horm_124_TrompoyWinche_7">#REF!</definedName>
    <definedName name="Horm_124_TrompoyWinche_8">#REF!</definedName>
    <definedName name="Horm_124_TrompoyWinche_9">#REF!</definedName>
    <definedName name="HORM_IND_180" localSheetId="1">#REF!</definedName>
    <definedName name="HORM_IND_180">#REF!</definedName>
    <definedName name="HORM_IND_180_10">#REF!</definedName>
    <definedName name="HORM_IND_180_11">#REF!</definedName>
    <definedName name="HORM_IND_180_6">#REF!</definedName>
    <definedName name="HORM_IND_180_7">#REF!</definedName>
    <definedName name="HORM_IND_180_8">#REF!</definedName>
    <definedName name="HORM_IND_180_9">#REF!</definedName>
    <definedName name="HORM_IND_210" localSheetId="1">#REF!</definedName>
    <definedName name="HORM_IND_210">#REF!</definedName>
    <definedName name="HORM_IND_210_10">#REF!</definedName>
    <definedName name="HORM_IND_210_11">#REF!</definedName>
    <definedName name="HORM_IND_210_6">#REF!</definedName>
    <definedName name="HORM_IND_210_7">#REF!</definedName>
    <definedName name="HORM_IND_210_8">#REF!</definedName>
    <definedName name="HORM_IND_210_9">#REF!</definedName>
    <definedName name="HORM_IND_240" localSheetId="1">#REF!</definedName>
    <definedName name="HORM_IND_240">#REF!</definedName>
    <definedName name="HORM_IND_240_10">#REF!</definedName>
    <definedName name="HORM_IND_240_11">#REF!</definedName>
    <definedName name="HORM_IND_240_6">#REF!</definedName>
    <definedName name="HORM_IND_240_7">#REF!</definedName>
    <definedName name="HORM_IND_240_8">#REF!</definedName>
    <definedName name="HORM_IND_240_9">#REF!</definedName>
    <definedName name="HORM135_MANUAL">'[18]HORM. Y MORTEROS.'!$H$212</definedName>
    <definedName name="hormigon140" localSheetId="1">#REF!</definedName>
    <definedName name="hormigon140">#REF!</definedName>
    <definedName name="hormigon140_6">#REF!</definedName>
    <definedName name="hormigon140_8">#REF!</definedName>
    <definedName name="hormigon180" localSheetId="1">#REF!</definedName>
    <definedName name="hormigon180">#REF!</definedName>
    <definedName name="hormigon180_8">#REF!</definedName>
    <definedName name="hormigon210" localSheetId="1">#REF!</definedName>
    <definedName name="hormigon210">#REF!</definedName>
    <definedName name="hormigon210_8">#REF!</definedName>
    <definedName name="ilma">'[9]M.O.'!#REF!</definedName>
    <definedName name="impresion_2">[20]Directos!#REF!</definedName>
    <definedName name="Imprimir_área_IM" localSheetId="1">[11]PRESUPUESTO!$A$1763:$L$1796</definedName>
    <definedName name="Imprimir_área_IM">#REF!</definedName>
    <definedName name="Imprimir_área_IM_6">#REF!</definedName>
    <definedName name="ingeniera">'[12]M.O.'!$C$10</definedName>
    <definedName name="ingeniera_10">#REF!</definedName>
    <definedName name="ingeniera_11">#REF!</definedName>
    <definedName name="ingeniera_5">#REF!</definedName>
    <definedName name="ingeniera_6">#REF!</definedName>
    <definedName name="ingeniera_7">#REF!</definedName>
    <definedName name="ingeniera_8">#REF!</definedName>
    <definedName name="ingeniera_9">#REF!</definedName>
    <definedName name="INODORO_BCO_TAPA" localSheetId="1">#REF!</definedName>
    <definedName name="INODORO_BCO_TAPA">#REF!</definedName>
    <definedName name="INODORO_BCO_TAPA_10">#REF!</definedName>
    <definedName name="INODORO_BCO_TAPA_11">#REF!</definedName>
    <definedName name="INODORO_BCO_TAPA_6">#REF!</definedName>
    <definedName name="INODORO_BCO_TAPA_7">#REF!</definedName>
    <definedName name="INODORO_BCO_TAPA_8">#REF!</definedName>
    <definedName name="INODORO_BCO_TAPA_9">#REF!</definedName>
    <definedName name="INSUMO_1" localSheetId="1">#REF!</definedName>
    <definedName name="INSUMO_1">#REF!</definedName>
    <definedName name="INSUMO_1_10">#REF!</definedName>
    <definedName name="INSUMO_1_11">#REF!</definedName>
    <definedName name="INSUMO_1_6">#REF!</definedName>
    <definedName name="INSUMO_1_7">#REF!</definedName>
    <definedName name="INSUMO_1_8">#REF!</definedName>
    <definedName name="INSUMO_1_9">#REF!</definedName>
    <definedName name="INTERRUPTOR_3w" localSheetId="1">#REF!</definedName>
    <definedName name="INTERRUPTOR_3w">#REF!</definedName>
    <definedName name="INTERRUPTOR_3w_10">#REF!</definedName>
    <definedName name="INTERRUPTOR_3w_11">#REF!</definedName>
    <definedName name="INTERRUPTOR_3w_6">#REF!</definedName>
    <definedName name="INTERRUPTOR_3w_7">#REF!</definedName>
    <definedName name="INTERRUPTOR_3w_8">#REF!</definedName>
    <definedName name="INTERRUPTOR_3w_9">#REF!</definedName>
    <definedName name="INTERRUPTOR_4w" localSheetId="1">#REF!</definedName>
    <definedName name="INTERRUPTOR_4w">#REF!</definedName>
    <definedName name="INTERRUPTOR_4w_10">#REF!</definedName>
    <definedName name="INTERRUPTOR_4w_11">#REF!</definedName>
    <definedName name="INTERRUPTOR_4w_6">#REF!</definedName>
    <definedName name="INTERRUPTOR_4w_7">#REF!</definedName>
    <definedName name="INTERRUPTOR_4w_8">#REF!</definedName>
    <definedName name="INTERRUPTOR_4w_9">#REF!</definedName>
    <definedName name="INTERRUPTOR_DOBLE" localSheetId="1">#REF!</definedName>
    <definedName name="INTERRUPTOR_DOBLE">#REF!</definedName>
    <definedName name="INTERRUPTOR_DOBLE_10">#REF!</definedName>
    <definedName name="INTERRUPTOR_DOBLE_11">#REF!</definedName>
    <definedName name="INTERRUPTOR_DOBLE_6">#REF!</definedName>
    <definedName name="INTERRUPTOR_DOBLE_7">#REF!</definedName>
    <definedName name="INTERRUPTOR_DOBLE_8">#REF!</definedName>
    <definedName name="INTERRUPTOR_DOBLE_9">#REF!</definedName>
    <definedName name="INTERRUPTOR_SENC" localSheetId="1">#REF!</definedName>
    <definedName name="INTERRUPTOR_SENC">#REF!</definedName>
    <definedName name="INTERRUPTOR_SENC_10">#REF!</definedName>
    <definedName name="INTERRUPTOR_SENC_11">#REF!</definedName>
    <definedName name="INTERRUPTOR_SENC_6">#REF!</definedName>
    <definedName name="INTERRUPTOR_SENC_7">#REF!</definedName>
    <definedName name="INTERRUPTOR_SENC_8">#REF!</definedName>
    <definedName name="INTERRUPTOR_SENC_9">#REF!</definedName>
    <definedName name="J" localSheetId="1">#REF!</definedName>
    <definedName name="J">'[8]CUB-10181-3(Rescision)'!#REF!</definedName>
    <definedName name="JOEL">#REF!</definedName>
    <definedName name="JUNTA_CERA_INODORO" localSheetId="1">#REF!</definedName>
    <definedName name="JUNTA_CERA_INODORO">#REF!</definedName>
    <definedName name="JUNTA_CERA_INODORO_10">#REF!</definedName>
    <definedName name="JUNTA_CERA_INODORO_11">#REF!</definedName>
    <definedName name="JUNTA_CERA_INODORO_6">#REF!</definedName>
    <definedName name="JUNTA_CERA_INODORO_7">#REF!</definedName>
    <definedName name="JUNTA_CERA_INODORO_8">#REF!</definedName>
    <definedName name="JUNTA_CERA_INODORO_9">#REF!</definedName>
    <definedName name="JUNTA_DRESSER_12" localSheetId="1">#REF!</definedName>
    <definedName name="JUNTA_DRESSER_12">#REF!</definedName>
    <definedName name="JUNTA_DRESSER_12_10">#REF!</definedName>
    <definedName name="JUNTA_DRESSER_12_11">#REF!</definedName>
    <definedName name="JUNTA_DRESSER_12_6">#REF!</definedName>
    <definedName name="JUNTA_DRESSER_12_7">#REF!</definedName>
    <definedName name="JUNTA_DRESSER_12_8">#REF!</definedName>
    <definedName name="JUNTA_DRESSER_12_9">#REF!</definedName>
    <definedName name="JUNTA_DRESSER_16" localSheetId="1">#REF!</definedName>
    <definedName name="JUNTA_DRESSER_16">#REF!</definedName>
    <definedName name="JUNTA_DRESSER_16_10">#REF!</definedName>
    <definedName name="JUNTA_DRESSER_16_11">#REF!</definedName>
    <definedName name="JUNTA_DRESSER_16_6">#REF!</definedName>
    <definedName name="JUNTA_DRESSER_16_7">#REF!</definedName>
    <definedName name="JUNTA_DRESSER_16_8">#REF!</definedName>
    <definedName name="JUNTA_DRESSER_16_9">#REF!</definedName>
    <definedName name="JUNTA_DRESSER_2" localSheetId="1">#REF!</definedName>
    <definedName name="JUNTA_DRESSER_2">#REF!</definedName>
    <definedName name="JUNTA_DRESSER_2_10">#REF!</definedName>
    <definedName name="JUNTA_DRESSER_2_11">#REF!</definedName>
    <definedName name="JUNTA_DRESSER_2_6">#REF!</definedName>
    <definedName name="JUNTA_DRESSER_2_7">#REF!</definedName>
    <definedName name="JUNTA_DRESSER_2_8">#REF!</definedName>
    <definedName name="JUNTA_DRESSER_2_9">#REF!</definedName>
    <definedName name="JUNTA_DRESSER_3" localSheetId="1">#REF!</definedName>
    <definedName name="JUNTA_DRESSER_3">#REF!</definedName>
    <definedName name="JUNTA_DRESSER_3_10">#REF!</definedName>
    <definedName name="JUNTA_DRESSER_3_11">#REF!</definedName>
    <definedName name="JUNTA_DRESSER_3_6">#REF!</definedName>
    <definedName name="JUNTA_DRESSER_3_7">#REF!</definedName>
    <definedName name="JUNTA_DRESSER_3_8">#REF!</definedName>
    <definedName name="JUNTA_DRESSER_3_9">#REF!</definedName>
    <definedName name="JUNTA_DRESSER_4" localSheetId="1">#REF!</definedName>
    <definedName name="JUNTA_DRESSER_4">#REF!</definedName>
    <definedName name="JUNTA_DRESSER_4_10">#REF!</definedName>
    <definedName name="JUNTA_DRESSER_4_11">#REF!</definedName>
    <definedName name="JUNTA_DRESSER_4_6">#REF!</definedName>
    <definedName name="JUNTA_DRESSER_4_7">#REF!</definedName>
    <definedName name="JUNTA_DRESSER_4_8">#REF!</definedName>
    <definedName name="JUNTA_DRESSER_4_9">#REF!</definedName>
    <definedName name="JUNTA_DRESSER_6" localSheetId="1">#REF!</definedName>
    <definedName name="JUNTA_DRESSER_6">#REF!</definedName>
    <definedName name="JUNTA_DRESSER_6_10">#REF!</definedName>
    <definedName name="JUNTA_DRESSER_6_11">#REF!</definedName>
    <definedName name="JUNTA_DRESSER_6_6">#REF!</definedName>
    <definedName name="JUNTA_DRESSER_6_7">#REF!</definedName>
    <definedName name="JUNTA_DRESSER_6_8">#REF!</definedName>
    <definedName name="JUNTA_DRESSER_6_9">#REF!</definedName>
    <definedName name="JUNTA_DRESSER_8" localSheetId="1">#REF!</definedName>
    <definedName name="JUNTA_DRESSER_8">#REF!</definedName>
    <definedName name="JUNTA_DRESSER_8_10">#REF!</definedName>
    <definedName name="JUNTA_DRESSER_8_11">#REF!</definedName>
    <definedName name="JUNTA_DRESSER_8_6">#REF!</definedName>
    <definedName name="JUNTA_DRESSER_8_7">#REF!</definedName>
    <definedName name="JUNTA_DRESSER_8_8">#REF!</definedName>
    <definedName name="JUNTA_DRESSER_8_9">#REF!</definedName>
    <definedName name="JUNTA_WATER_STOP_9" localSheetId="1">#REF!</definedName>
    <definedName name="JUNTA_WATER_STOP_9">#REF!</definedName>
    <definedName name="JUNTA_WATER_STOP_9_10">#REF!</definedName>
    <definedName name="JUNTA_WATER_STOP_9_11">#REF!</definedName>
    <definedName name="JUNTA_WATER_STOP_9_6">#REF!</definedName>
    <definedName name="JUNTA_WATER_STOP_9_7">#REF!</definedName>
    <definedName name="JUNTA_WATER_STOP_9_8">#REF!</definedName>
    <definedName name="JUNTA_WATER_STOP_9_9">#REF!</definedName>
    <definedName name="k">'[9]M.O.'!#REF!</definedName>
    <definedName name="L_1">#REF!</definedName>
    <definedName name="L_2">#REF!</definedName>
    <definedName name="L_5">#REF!</definedName>
    <definedName name="LADRILLOS_4x8x2" localSheetId="1">#REF!</definedName>
    <definedName name="LADRILLOS_4x8x2">#REF!</definedName>
    <definedName name="LADRILLOS_4x8x2_10">#REF!</definedName>
    <definedName name="LADRILLOS_4x8x2_11">#REF!</definedName>
    <definedName name="LADRILLOS_4x8x2_6">#REF!</definedName>
    <definedName name="LADRILLOS_4x8x2_7">#REF!</definedName>
    <definedName name="LADRILLOS_4x8x2_8">#REF!</definedName>
    <definedName name="LADRILLOS_4x8x2_9">#REF!</definedName>
    <definedName name="LAMPARA_FLUORESC_2x4" localSheetId="1">#REF!</definedName>
    <definedName name="LAMPARA_FLUORESC_2x4">#REF!</definedName>
    <definedName name="LAMPARA_FLUORESC_2x4_10">#REF!</definedName>
    <definedName name="LAMPARA_FLUORESC_2x4_11">#REF!</definedName>
    <definedName name="LAMPARA_FLUORESC_2x4_6">#REF!</definedName>
    <definedName name="LAMPARA_FLUORESC_2x4_7">#REF!</definedName>
    <definedName name="LAMPARA_FLUORESC_2x4_8">#REF!</definedName>
    <definedName name="LAMPARA_FLUORESC_2x4_9">#REF!</definedName>
    <definedName name="LAMPARAS_DE_1500W_220V">[14]INSU!$B$41</definedName>
    <definedName name="LAQUEAR_MADERA" localSheetId="1">#REF!</definedName>
    <definedName name="LAQUEAR_MADERA">#REF!</definedName>
    <definedName name="LAQUEAR_MADERA_10">#REF!</definedName>
    <definedName name="LAQUEAR_MADERA_11">#REF!</definedName>
    <definedName name="LAQUEAR_MADERA_6">#REF!</definedName>
    <definedName name="LAQUEAR_MADERA_7">#REF!</definedName>
    <definedName name="LAQUEAR_MADERA_8">#REF!</definedName>
    <definedName name="LAQUEAR_MADERA_9">#REF!</definedName>
    <definedName name="LAVADERO_DOBLE" localSheetId="1">#REF!</definedName>
    <definedName name="LAVADERO_DOBLE">#REF!</definedName>
    <definedName name="LAVADERO_DOBLE_10">#REF!</definedName>
    <definedName name="LAVADERO_DOBLE_11">#REF!</definedName>
    <definedName name="LAVADERO_DOBLE_6">#REF!</definedName>
    <definedName name="LAVADERO_DOBLE_7">#REF!</definedName>
    <definedName name="LAVADERO_DOBLE_8">#REF!</definedName>
    <definedName name="LAVADERO_DOBLE_9">#REF!</definedName>
    <definedName name="LAVADERO_GRANITO_SENCILLO" localSheetId="1">#REF!</definedName>
    <definedName name="LAVADERO_GRANITO_SENCILLO">#REF!</definedName>
    <definedName name="LAVADERO_GRANITO_SENCILLO_10">#REF!</definedName>
    <definedName name="LAVADERO_GRANITO_SENCILLO_11">#REF!</definedName>
    <definedName name="LAVADERO_GRANITO_SENCILLO_6">#REF!</definedName>
    <definedName name="LAVADERO_GRANITO_SENCILLO_7">#REF!</definedName>
    <definedName name="LAVADERO_GRANITO_SENCILLO_8">#REF!</definedName>
    <definedName name="LAVADERO_GRANITO_SENCILLO_9">#REF!</definedName>
    <definedName name="LAVAMANO_19x17_BCO" localSheetId="1">#REF!</definedName>
    <definedName name="LAVAMANO_19x17_BCO">#REF!</definedName>
    <definedName name="LAVAMANO_19x17_BCO_10">#REF!</definedName>
    <definedName name="LAVAMANO_19x17_BCO_11">#REF!</definedName>
    <definedName name="LAVAMANO_19x17_BCO_6">#REF!</definedName>
    <definedName name="LAVAMANO_19x17_BCO_7">#REF!</definedName>
    <definedName name="LAVAMANO_19x17_BCO_8">#REF!</definedName>
    <definedName name="LAVAMANO_19x17_BCO_9">#REF!</definedName>
    <definedName name="Ligadora2fdas" localSheetId="1">#REF!</definedName>
    <definedName name="Ligadora2fdas">#REF!</definedName>
    <definedName name="Ligadora2fdas_10">#REF!</definedName>
    <definedName name="Ligadora2fdas_11">#REF!</definedName>
    <definedName name="Ligadora2fdas_6">#REF!</definedName>
    <definedName name="Ligadora2fdas_7">#REF!</definedName>
    <definedName name="Ligadora2fdas_8">#REF!</definedName>
    <definedName name="Ligadora2fdas_9">#REF!</definedName>
    <definedName name="LINEA_DE_CONDUC">#N/A</definedName>
    <definedName name="LINEA_DE_CONDUC_6">NA()</definedName>
    <definedName name="LLAVE_ANG_38" localSheetId="1">#REF!</definedName>
    <definedName name="LLAVE_ANG_38">#REF!</definedName>
    <definedName name="LLAVE_ANG_38_10">#REF!</definedName>
    <definedName name="LLAVE_ANG_38_11">#REF!</definedName>
    <definedName name="LLAVE_ANG_38_6">#REF!</definedName>
    <definedName name="LLAVE_ANG_38_7">#REF!</definedName>
    <definedName name="LLAVE_ANG_38_8">#REF!</definedName>
    <definedName name="LLAVE_ANG_38_9">#REF!</definedName>
    <definedName name="LLAVE_CHORRO" localSheetId="1">#REF!</definedName>
    <definedName name="LLAVE_CHORRO">#REF!</definedName>
    <definedName name="LLAVE_CHORRO_10">#REF!</definedName>
    <definedName name="LLAVE_CHORRO_11">#REF!</definedName>
    <definedName name="LLAVE_CHORRO_6">#REF!</definedName>
    <definedName name="LLAVE_CHORRO_7">#REF!</definedName>
    <definedName name="LLAVE_CHORRO_8">#REF!</definedName>
    <definedName name="LLAVE_CHORRO_9">#REF!</definedName>
    <definedName name="LLAVE_EMPOTRAR_CROMO_12" localSheetId="1">#REF!</definedName>
    <definedName name="LLAVE_EMPOTRAR_CROMO_12">#REF!</definedName>
    <definedName name="LLAVE_EMPOTRAR_CROMO_12_10">#REF!</definedName>
    <definedName name="LLAVE_EMPOTRAR_CROMO_12_11">#REF!</definedName>
    <definedName name="LLAVE_EMPOTRAR_CROMO_12_6">#REF!</definedName>
    <definedName name="LLAVE_EMPOTRAR_CROMO_12_7">#REF!</definedName>
    <definedName name="LLAVE_EMPOTRAR_CROMO_12_8">#REF!</definedName>
    <definedName name="LLAVE_EMPOTRAR_CROMO_12_9">#REF!</definedName>
    <definedName name="LLAVE_PASO_1" localSheetId="1">#REF!</definedName>
    <definedName name="LLAVE_PASO_1">#REF!</definedName>
    <definedName name="LLAVE_PASO_1_10">#REF!</definedName>
    <definedName name="LLAVE_PASO_1_11">#REF!</definedName>
    <definedName name="LLAVE_PASO_1_6">#REF!</definedName>
    <definedName name="LLAVE_PASO_1_7">#REF!</definedName>
    <definedName name="LLAVE_PASO_1_8">#REF!</definedName>
    <definedName name="LLAVE_PASO_1_9">#REF!</definedName>
    <definedName name="LLAVE_PASO_34" localSheetId="1">#REF!</definedName>
    <definedName name="LLAVE_PASO_34">#REF!</definedName>
    <definedName name="LLAVE_PASO_34_10">#REF!</definedName>
    <definedName name="LLAVE_PASO_34_11">#REF!</definedName>
    <definedName name="LLAVE_PASO_34_6">#REF!</definedName>
    <definedName name="LLAVE_PASO_34_7">#REF!</definedName>
    <definedName name="LLAVE_PASO_34_8">#REF!</definedName>
    <definedName name="LLAVE_PASO_34_9">#REF!</definedName>
    <definedName name="LLAVE_SENCILLA" localSheetId="1">#REF!</definedName>
    <definedName name="LLAVE_SENCILLA">#REF!</definedName>
    <definedName name="LLAVE_SENCILLA_10">#REF!</definedName>
    <definedName name="LLAVE_SENCILLA_11">#REF!</definedName>
    <definedName name="LLAVE_SENCILLA_6">#REF!</definedName>
    <definedName name="LLAVE_SENCILLA_7">#REF!</definedName>
    <definedName name="LLAVE_SENCILLA_8">#REF!</definedName>
    <definedName name="LLAVE_SENCILLA_9">#REF!</definedName>
    <definedName name="LLAVIN_PUERTA" localSheetId="1">#REF!</definedName>
    <definedName name="LLAVIN_PUERTA">#REF!</definedName>
    <definedName name="LLAVIN_PUERTA_10">#REF!</definedName>
    <definedName name="LLAVIN_PUERTA_11">#REF!</definedName>
    <definedName name="LLAVIN_PUERTA_6">#REF!</definedName>
    <definedName name="LLAVIN_PUERTA_7">#REF!</definedName>
    <definedName name="LLAVIN_PUERTA_8">#REF!</definedName>
    <definedName name="LLAVIN_PUERTA_9">#REF!</definedName>
    <definedName name="LLENADO_BLOQUES_20" localSheetId="1">#REF!</definedName>
    <definedName name="LLENADO_BLOQUES_20">#REF!</definedName>
    <definedName name="LLENADO_BLOQUES_20_10">#REF!</definedName>
    <definedName name="LLENADO_BLOQUES_20_11">#REF!</definedName>
    <definedName name="LLENADO_BLOQUES_20_6">#REF!</definedName>
    <definedName name="LLENADO_BLOQUES_20_7">#REF!</definedName>
    <definedName name="LLENADO_BLOQUES_20_8">#REF!</definedName>
    <definedName name="LLENADO_BLOQUES_20_9">#REF!</definedName>
    <definedName name="LLENADO_BLOQUES_40" localSheetId="1">#REF!</definedName>
    <definedName name="LLENADO_BLOQUES_40">#REF!</definedName>
    <definedName name="LLENADO_BLOQUES_40_10">#REF!</definedName>
    <definedName name="LLENADO_BLOQUES_40_11">#REF!</definedName>
    <definedName name="LLENADO_BLOQUES_40_6">#REF!</definedName>
    <definedName name="LLENADO_BLOQUES_40_7">#REF!</definedName>
    <definedName name="LLENADO_BLOQUES_40_8">#REF!</definedName>
    <definedName name="LLENADO_BLOQUES_40_9">#REF!</definedName>
    <definedName name="LLENADO_BLOQUES_60" localSheetId="1">#REF!</definedName>
    <definedName name="LLENADO_BLOQUES_60">#REF!</definedName>
    <definedName name="LLENADO_BLOQUES_60_10">#REF!</definedName>
    <definedName name="LLENADO_BLOQUES_60_11">#REF!</definedName>
    <definedName name="LLENADO_BLOQUES_60_6">#REF!</definedName>
    <definedName name="LLENADO_BLOQUES_60_7">#REF!</definedName>
    <definedName name="LLENADO_BLOQUES_60_8">#REF!</definedName>
    <definedName name="LLENADO_BLOQUES_60_9">#REF!</definedName>
    <definedName name="LLENADO_BLOQUES_80" localSheetId="1">#REF!</definedName>
    <definedName name="LLENADO_BLOQUES_80">#REF!</definedName>
    <definedName name="LLENADO_BLOQUES_80_10">#REF!</definedName>
    <definedName name="LLENADO_BLOQUES_80_11">#REF!</definedName>
    <definedName name="LLENADO_BLOQUES_80_6">#REF!</definedName>
    <definedName name="LLENADO_BLOQUES_80_7">#REF!</definedName>
    <definedName name="LLENADO_BLOQUES_80_8">#REF!</definedName>
    <definedName name="LLENADO_BLOQUES_80_9">#REF!</definedName>
    <definedName name="LOSA12" localSheetId="1">#REF!</definedName>
    <definedName name="LOSA12">#REF!</definedName>
    <definedName name="LOSA12_6">#REF!</definedName>
    <definedName name="LOSA20" localSheetId="1">#REF!</definedName>
    <definedName name="LOSA20">#REF!</definedName>
    <definedName name="LOSA20_6">#REF!</definedName>
    <definedName name="LOSA30" localSheetId="1">#REF!</definedName>
    <definedName name="LOSA30">#REF!</definedName>
    <definedName name="LOSA30_6">#REF!</definedName>
    <definedName name="MA" localSheetId="1">'[9]M.O.'!$C$10</definedName>
    <definedName name="MA">#REF!</definedName>
    <definedName name="MA_10">#REF!</definedName>
    <definedName name="MA_11">#REF!</definedName>
    <definedName name="MA_6">#REF!</definedName>
    <definedName name="MA_7">#REF!</definedName>
    <definedName name="MA_8">#REF!</definedName>
    <definedName name="MA_9">#REF!</definedName>
    <definedName name="MACHETE" localSheetId="1">#REF!</definedName>
    <definedName name="MACHETE">#REF!</definedName>
    <definedName name="MACHETE_10">#REF!</definedName>
    <definedName name="MACHETE_11">#REF!</definedName>
    <definedName name="MACHETE_6">#REF!</definedName>
    <definedName name="MACHETE_7">#REF!</definedName>
    <definedName name="MACHETE_8">#REF!</definedName>
    <definedName name="MACHETE_9">#REF!</definedName>
    <definedName name="MACO" localSheetId="1">#REF!</definedName>
    <definedName name="MACO">#REF!</definedName>
    <definedName name="MACO_10">#REF!</definedName>
    <definedName name="MACO_11">#REF!</definedName>
    <definedName name="MACO_6">#REF!</definedName>
    <definedName name="MACO_7">#REF!</definedName>
    <definedName name="MACO_8">#REF!</definedName>
    <definedName name="MACO_9">#REF!</definedName>
    <definedName name="Madera_P2" localSheetId="1">#REF!</definedName>
    <definedName name="Madera_P2">[6]INSU!$D$132</definedName>
    <definedName name="Madera_P2_10">#REF!</definedName>
    <definedName name="Madera_P2_11">#REF!</definedName>
    <definedName name="Madera_P2_5">#REF!</definedName>
    <definedName name="Madera_P2_6">#REF!</definedName>
    <definedName name="Madera_P2_7">#REF!</definedName>
    <definedName name="Madera_P2_8">#REF!</definedName>
    <definedName name="Madera_P2_9">#REF!</definedName>
    <definedName name="maderabrutapino" localSheetId="1">#REF!</definedName>
    <definedName name="maderabrutapino">#REF!</definedName>
    <definedName name="maderabrutapino_8">#REF!</definedName>
    <definedName name="Maestro" localSheetId="1">#REF!</definedName>
    <definedName name="Maestro">#REF!</definedName>
    <definedName name="Maestro_10">#REF!</definedName>
    <definedName name="Maestro_11">#REF!</definedName>
    <definedName name="Maestro_6">#REF!</definedName>
    <definedName name="Maestro_7">#REF!</definedName>
    <definedName name="Maestro_8">#REF!</definedName>
    <definedName name="Maestro_9">#REF!</definedName>
    <definedName name="MAESTROCARP" localSheetId="1">#REF!</definedName>
    <definedName name="MAESTROCARP">[7]INS!#REF!</definedName>
    <definedName name="MAESTROCARP_6">#REF!</definedName>
    <definedName name="MAESTROCARP_8">#REF!</definedName>
    <definedName name="MALLA_ABRAZ_1_12" localSheetId="1">#REF!</definedName>
    <definedName name="MALLA_ABRAZ_1_12">#REF!</definedName>
    <definedName name="MALLA_ABRAZ_1_12_10">#REF!</definedName>
    <definedName name="MALLA_ABRAZ_1_12_11">#REF!</definedName>
    <definedName name="MALLA_ABRAZ_1_12_6">#REF!</definedName>
    <definedName name="MALLA_ABRAZ_1_12_7">#REF!</definedName>
    <definedName name="MALLA_ABRAZ_1_12_8">#REF!</definedName>
    <definedName name="MALLA_ABRAZ_1_12_9">#REF!</definedName>
    <definedName name="MALLA_AL_GALVANIZADO" localSheetId="1">#REF!</definedName>
    <definedName name="MALLA_AL_GALVANIZADO">#REF!</definedName>
    <definedName name="MALLA_AL_GALVANIZADO_10">#REF!</definedName>
    <definedName name="MALLA_AL_GALVANIZADO_11">#REF!</definedName>
    <definedName name="MALLA_AL_GALVANIZADO_6">#REF!</definedName>
    <definedName name="MALLA_AL_GALVANIZADO_7">#REF!</definedName>
    <definedName name="MALLA_AL_GALVANIZADO_8">#REF!</definedName>
    <definedName name="MALLA_AL_GALVANIZADO_9">#REF!</definedName>
    <definedName name="MALLA_AL_PUAS" localSheetId="1">#REF!</definedName>
    <definedName name="MALLA_AL_PUAS">#REF!</definedName>
    <definedName name="MALLA_AL_PUAS_10">#REF!</definedName>
    <definedName name="MALLA_AL_PUAS_11">#REF!</definedName>
    <definedName name="MALLA_AL_PUAS_6">#REF!</definedName>
    <definedName name="MALLA_AL_PUAS_7">#REF!</definedName>
    <definedName name="MALLA_AL_PUAS_8">#REF!</definedName>
    <definedName name="MALLA_AL_PUAS_9">#REF!</definedName>
    <definedName name="MALLA_BARRA_TENZORA" localSheetId="1">#REF!</definedName>
    <definedName name="MALLA_BARRA_TENZORA">#REF!</definedName>
    <definedName name="MALLA_BARRA_TENZORA_10">#REF!</definedName>
    <definedName name="MALLA_BARRA_TENZORA_11">#REF!</definedName>
    <definedName name="MALLA_BARRA_TENZORA_6">#REF!</definedName>
    <definedName name="MALLA_BARRA_TENZORA_7">#REF!</definedName>
    <definedName name="MALLA_BARRA_TENZORA_8">#REF!</definedName>
    <definedName name="MALLA_BARRA_TENZORA_9">#REF!</definedName>
    <definedName name="MALLA_BOTE" localSheetId="1">#REF!</definedName>
    <definedName name="MALLA_BOTE">#REF!</definedName>
    <definedName name="MALLA_BOTE_10">#REF!</definedName>
    <definedName name="MALLA_BOTE_11">#REF!</definedName>
    <definedName name="MALLA_BOTE_6">#REF!</definedName>
    <definedName name="MALLA_BOTE_7">#REF!</definedName>
    <definedName name="MALLA_BOTE_8">#REF!</definedName>
    <definedName name="MALLA_BOTE_9">#REF!</definedName>
    <definedName name="MALLA_CARP_COLS" localSheetId="1">#REF!</definedName>
    <definedName name="MALLA_CARP_COLS">#REF!</definedName>
    <definedName name="MALLA_CARP_COLS_10">#REF!</definedName>
    <definedName name="MALLA_CARP_COLS_11">#REF!</definedName>
    <definedName name="MALLA_CARP_COLS_6">#REF!</definedName>
    <definedName name="MALLA_CARP_COLS_7">#REF!</definedName>
    <definedName name="MALLA_CARP_COLS_8">#REF!</definedName>
    <definedName name="MALLA_CARP_COLS_9">#REF!</definedName>
    <definedName name="MALLA_CICLONICA_6" localSheetId="1">#REF!</definedName>
    <definedName name="MALLA_CICLONICA_6">#REF!</definedName>
    <definedName name="MALLA_CICLONICA_6_10">#REF!</definedName>
    <definedName name="MALLA_CICLONICA_6_11">#REF!</definedName>
    <definedName name="MALLA_CICLONICA_6_6">#REF!</definedName>
    <definedName name="MALLA_CICLONICA_6_7">#REF!</definedName>
    <definedName name="MALLA_CICLONICA_6_8">#REF!</definedName>
    <definedName name="MALLA_CICLONICA_6_9">#REF!</definedName>
    <definedName name="MALLA_COLOC_6" localSheetId="1">#REF!</definedName>
    <definedName name="MALLA_COLOC_6">#REF!</definedName>
    <definedName name="MALLA_COLOC_6_10">#REF!</definedName>
    <definedName name="MALLA_COLOC_6_11">#REF!</definedName>
    <definedName name="MALLA_COLOC_6_6">#REF!</definedName>
    <definedName name="MALLA_COLOC_6_7">#REF!</definedName>
    <definedName name="MALLA_COLOC_6_8">#REF!</definedName>
    <definedName name="MALLA_COLOC_6_9">#REF!</definedName>
    <definedName name="MALLA_COPAFINAL_1_12" localSheetId="1">#REF!</definedName>
    <definedName name="MALLA_COPAFINAL_1_12">#REF!</definedName>
    <definedName name="MALLA_COPAFINAL_1_12_10">#REF!</definedName>
    <definedName name="MALLA_COPAFINAL_1_12_11">#REF!</definedName>
    <definedName name="MALLA_COPAFINAL_1_12_6">#REF!</definedName>
    <definedName name="MALLA_COPAFINAL_1_12_7">#REF!</definedName>
    <definedName name="MALLA_COPAFINAL_1_12_8">#REF!</definedName>
    <definedName name="MALLA_COPAFINAL_1_12_9">#REF!</definedName>
    <definedName name="MALLA_COPAFINAL_2" localSheetId="1">#REF!</definedName>
    <definedName name="MALLA_COPAFINAL_2">#REF!</definedName>
    <definedName name="MALLA_COPAFINAL_2_10">#REF!</definedName>
    <definedName name="MALLA_COPAFINAL_2_11">#REF!</definedName>
    <definedName name="MALLA_COPAFINAL_2_6">#REF!</definedName>
    <definedName name="MALLA_COPAFINAL_2_7">#REF!</definedName>
    <definedName name="MALLA_COPAFINAL_2_8">#REF!</definedName>
    <definedName name="MALLA_COPAFINAL_2_9">#REF!</definedName>
    <definedName name="MALLA_CORTE_ABR" localSheetId="1">#REF!</definedName>
    <definedName name="MALLA_CORTE_ABR">#REF!</definedName>
    <definedName name="MALLA_CORTE_ABR_10">#REF!</definedName>
    <definedName name="MALLA_CORTE_ABR_11">#REF!</definedName>
    <definedName name="MALLA_CORTE_ABR_6">#REF!</definedName>
    <definedName name="MALLA_CORTE_ABR_7">#REF!</definedName>
    <definedName name="MALLA_CORTE_ABR_8">#REF!</definedName>
    <definedName name="MALLA_CORTE_ABR_9">#REF!</definedName>
    <definedName name="Malla_Electrosoldada_10x10" localSheetId="1">#REF!</definedName>
    <definedName name="Malla_Electrosoldada_10x10">#REF!</definedName>
    <definedName name="Malla_Electrosoldada_10x10_10">#REF!</definedName>
    <definedName name="Malla_Electrosoldada_10x10_11">#REF!</definedName>
    <definedName name="Malla_Electrosoldada_10x10_6">#REF!</definedName>
    <definedName name="Malla_Electrosoldada_10x10_7">#REF!</definedName>
    <definedName name="Malla_Electrosoldada_10x10_8">#REF!</definedName>
    <definedName name="Malla_Electrosoldada_10x10_9">#REF!</definedName>
    <definedName name="MALLA_PALOMETA_DOBLE_1_12" localSheetId="1">#REF!</definedName>
    <definedName name="MALLA_PALOMETA_DOBLE_1_12">#REF!</definedName>
    <definedName name="MALLA_PALOMETA_DOBLE_1_12_10">#REF!</definedName>
    <definedName name="MALLA_PALOMETA_DOBLE_1_12_11">#REF!</definedName>
    <definedName name="MALLA_PALOMETA_DOBLE_1_12_6">#REF!</definedName>
    <definedName name="MALLA_PALOMETA_DOBLE_1_12_7">#REF!</definedName>
    <definedName name="MALLA_PALOMETA_DOBLE_1_12_8">#REF!</definedName>
    <definedName name="MALLA_PALOMETA_DOBLE_1_12_9">#REF!</definedName>
    <definedName name="MALLA_RELLENO" localSheetId="1">#REF!</definedName>
    <definedName name="MALLA_RELLENO">#REF!</definedName>
    <definedName name="MALLA_RELLENO_10">#REF!</definedName>
    <definedName name="MALLA_RELLENO_11">#REF!</definedName>
    <definedName name="MALLA_RELLENO_6">#REF!</definedName>
    <definedName name="MALLA_RELLENO_7">#REF!</definedName>
    <definedName name="MALLA_RELLENO_8">#REF!</definedName>
    <definedName name="MALLA_RELLENO_9">#REF!</definedName>
    <definedName name="MALLA_SEGUETA" localSheetId="1">#REF!</definedName>
    <definedName name="MALLA_SEGUETA">#REF!</definedName>
    <definedName name="MALLA_SEGUETA_10">#REF!</definedName>
    <definedName name="MALLA_SEGUETA_11">#REF!</definedName>
    <definedName name="MALLA_SEGUETA_6">#REF!</definedName>
    <definedName name="MALLA_SEGUETA_7">#REF!</definedName>
    <definedName name="MALLA_SEGUETA_8">#REF!</definedName>
    <definedName name="MALLA_SEGUETA_9">#REF!</definedName>
    <definedName name="MALLA_TERMINAL_1_14" localSheetId="1">#REF!</definedName>
    <definedName name="MALLA_TERMINAL_1_14">#REF!</definedName>
    <definedName name="MALLA_TERMINAL_1_14_10">#REF!</definedName>
    <definedName name="MALLA_TERMINAL_1_14_11">#REF!</definedName>
    <definedName name="MALLA_TERMINAL_1_14_6">#REF!</definedName>
    <definedName name="MALLA_TERMINAL_1_14_7">#REF!</definedName>
    <definedName name="MALLA_TERMINAL_1_14_8">#REF!</definedName>
    <definedName name="MALLA_TERMINAL_1_14_9">#REF!</definedName>
    <definedName name="MALLA_TUBOHG_1" localSheetId="1">#REF!</definedName>
    <definedName name="MALLA_TUBOHG_1">#REF!</definedName>
    <definedName name="MALLA_TUBOHG_1_10">#REF!</definedName>
    <definedName name="MALLA_TUBOHG_1_11">#REF!</definedName>
    <definedName name="MALLA_TUBOHG_1_12" localSheetId="1">#REF!</definedName>
    <definedName name="MALLA_TUBOHG_1_12">#REF!</definedName>
    <definedName name="MALLA_TUBOHG_1_12_10">#REF!</definedName>
    <definedName name="MALLA_TUBOHG_1_12_11">#REF!</definedName>
    <definedName name="MALLA_TUBOHG_1_12_6">#REF!</definedName>
    <definedName name="MALLA_TUBOHG_1_12_7">#REF!</definedName>
    <definedName name="MALLA_TUBOHG_1_12_8">#REF!</definedName>
    <definedName name="MALLA_TUBOHG_1_12_9">#REF!</definedName>
    <definedName name="MALLA_TUBOHG_1_14" localSheetId="1">#REF!</definedName>
    <definedName name="MALLA_TUBOHG_1_14">#REF!</definedName>
    <definedName name="MALLA_TUBOHG_1_14_10">#REF!</definedName>
    <definedName name="MALLA_TUBOHG_1_14_11">#REF!</definedName>
    <definedName name="MALLA_TUBOHG_1_14_6">#REF!</definedName>
    <definedName name="MALLA_TUBOHG_1_14_7">#REF!</definedName>
    <definedName name="MALLA_TUBOHG_1_14_8">#REF!</definedName>
    <definedName name="MALLA_TUBOHG_1_14_9">#REF!</definedName>
    <definedName name="MALLA_TUBOHG_1_6">#REF!</definedName>
    <definedName name="MALLA_TUBOHG_1_7">#REF!</definedName>
    <definedName name="MALLA_TUBOHG_1_8">#REF!</definedName>
    <definedName name="MALLA_TUBOHG_1_9">#REF!</definedName>
    <definedName name="MALLA_ZABALETA" localSheetId="1">#REF!</definedName>
    <definedName name="MALLA_ZABALETA">#REF!</definedName>
    <definedName name="MALLA_ZABALETA_10">#REF!</definedName>
    <definedName name="MALLA_ZABALETA_11">#REF!</definedName>
    <definedName name="MALLA_ZABALETA_6">#REF!</definedName>
    <definedName name="MALLA_ZABALETA_7">#REF!</definedName>
    <definedName name="MALLA_ZABALETA_8">#REF!</definedName>
    <definedName name="MALLA_ZABALETA_9">#REF!</definedName>
    <definedName name="MARCO_PUERTA_PINO" localSheetId="1">#REF!</definedName>
    <definedName name="MARCO_PUERTA_PINO">#REF!</definedName>
    <definedName name="MARCO_PUERTA_PINO_10">#REF!</definedName>
    <definedName name="MARCO_PUERTA_PINO_11">#REF!</definedName>
    <definedName name="MARCO_PUERTA_PINO_6">#REF!</definedName>
    <definedName name="MARCO_PUERTA_PINO_7">#REF!</definedName>
    <definedName name="MARCO_PUERTA_PINO_8">#REF!</definedName>
    <definedName name="MARCO_PUERTA_PINO_9">#REF!</definedName>
    <definedName name="MATERIAL_RELLENO" localSheetId="1">#REF!</definedName>
    <definedName name="MATERIAL_RELLENO">#REF!</definedName>
    <definedName name="MATERIAL_RELLENO_10">#REF!</definedName>
    <definedName name="MATERIAL_RELLENO_11">#REF!</definedName>
    <definedName name="MATERIAL_RELLENO_6">#REF!</definedName>
    <definedName name="MATERIAL_RELLENO_7">#REF!</definedName>
    <definedName name="MATERIAL_RELLENO_8">#REF!</definedName>
    <definedName name="MATERIAL_RELLENO_9">#REF!</definedName>
    <definedName name="MBA" localSheetId="1">#REF!</definedName>
    <definedName name="MBA">#REF!</definedName>
    <definedName name="MBA_10">#REF!</definedName>
    <definedName name="MBA_11">#REF!</definedName>
    <definedName name="MBA_6">#REF!</definedName>
    <definedName name="MBA_7">#REF!</definedName>
    <definedName name="MBA_8">#REF!</definedName>
    <definedName name="MBA_9">#REF!</definedName>
    <definedName name="MEXCLADORA_LAVAMANOS" localSheetId="1">#REF!</definedName>
    <definedName name="MEXCLADORA_LAVAMANOS">#REF!</definedName>
    <definedName name="MEXCLADORA_LAVAMANOS_10">#REF!</definedName>
    <definedName name="MEXCLADORA_LAVAMANOS_11">#REF!</definedName>
    <definedName name="MEXCLADORA_LAVAMANOS_6">#REF!</definedName>
    <definedName name="MEXCLADORA_LAVAMANOS_7">#REF!</definedName>
    <definedName name="MEXCLADORA_LAVAMANOS_8">#REF!</definedName>
    <definedName name="MEXCLADORA_LAVAMANOS_9">#REF!</definedName>
    <definedName name="MEZCLA_CAL_ARENA_PISOS" localSheetId="1">#REF!</definedName>
    <definedName name="MEZCLA_CAL_ARENA_PISOS">#REF!</definedName>
    <definedName name="MEZCLA_CAL_ARENA_PISOS_10">#REF!</definedName>
    <definedName name="MEZCLA_CAL_ARENA_PISOS_11">#REF!</definedName>
    <definedName name="MEZCLA_CAL_ARENA_PISOS_6">#REF!</definedName>
    <definedName name="MEZCLA_CAL_ARENA_PISOS_7">#REF!</definedName>
    <definedName name="MEZCLA_CAL_ARENA_PISOS_8">#REF!</definedName>
    <definedName name="MEZCLA_CAL_ARENA_PISOS_9">#REF!</definedName>
    <definedName name="MezclaAntillana" localSheetId="1">#REF!</definedName>
    <definedName name="MezclaAntillana">#REF!</definedName>
    <definedName name="MezclaAntillana_10">#REF!</definedName>
    <definedName name="MezclaAntillana_11">#REF!</definedName>
    <definedName name="MezclaAntillana_6">#REF!</definedName>
    <definedName name="MezclaAntillana_7">#REF!</definedName>
    <definedName name="MezclaAntillana_8">#REF!</definedName>
    <definedName name="MezclaAntillana_9">#REF!</definedName>
    <definedName name="mezclajuntabloque" localSheetId="1">#REF!</definedName>
    <definedName name="mezclajuntabloque">#REF!</definedName>
    <definedName name="mezclajuntabloque_6">#REF!</definedName>
    <definedName name="mezclajuntabloque_8">#REF!</definedName>
    <definedName name="mgf">#REF!</definedName>
    <definedName name="mmmm">#REF!</definedName>
    <definedName name="MO_ACERA_FROTyVIOL" localSheetId="1">#REF!</definedName>
    <definedName name="MO_ACERA_FROTyVIOL">#REF!</definedName>
    <definedName name="MO_ACERA_FROTyVIOL_10">#REF!</definedName>
    <definedName name="MO_ACERA_FROTyVIOL_11">#REF!</definedName>
    <definedName name="MO_ACERA_FROTyVIOL_6">#REF!</definedName>
    <definedName name="MO_ACERA_FROTyVIOL_7">#REF!</definedName>
    <definedName name="MO_ACERA_FROTyVIOL_8">#REF!</definedName>
    <definedName name="MO_ACERA_FROTyVIOL_9">#REF!</definedName>
    <definedName name="MO_CANTOS" localSheetId="1">#REF!</definedName>
    <definedName name="MO_CANTOS">#REF!</definedName>
    <definedName name="MO_CANTOS_10">#REF!</definedName>
    <definedName name="MO_CANTOS_11">#REF!</definedName>
    <definedName name="MO_CANTOS_6">#REF!</definedName>
    <definedName name="MO_CANTOS_7">#REF!</definedName>
    <definedName name="MO_CANTOS_8">#REF!</definedName>
    <definedName name="MO_CANTOS_9">#REF!</definedName>
    <definedName name="MO_CARETEO" localSheetId="1">#REF!</definedName>
    <definedName name="MO_CARETEO">#REF!</definedName>
    <definedName name="MO_CARETEO_10">#REF!</definedName>
    <definedName name="MO_CARETEO_11">#REF!</definedName>
    <definedName name="MO_CARETEO_6">#REF!</definedName>
    <definedName name="MO_CARETEO_7">#REF!</definedName>
    <definedName name="MO_CARETEO_8">#REF!</definedName>
    <definedName name="MO_CARETEO_9">#REF!</definedName>
    <definedName name="MO_ColAcero_Dintel" localSheetId="1">#REF!</definedName>
    <definedName name="MO_ColAcero_Dintel">#REF!</definedName>
    <definedName name="MO_ColAcero_Dintel_10">#REF!</definedName>
    <definedName name="MO_ColAcero_Dintel_11">#REF!</definedName>
    <definedName name="MO_ColAcero_Dintel_6">#REF!</definedName>
    <definedName name="MO_ColAcero_Dintel_7">#REF!</definedName>
    <definedName name="MO_ColAcero_Dintel_8">#REF!</definedName>
    <definedName name="MO_ColAcero_Dintel_9">#REF!</definedName>
    <definedName name="MO_ColAcero_Escalera" localSheetId="1">#REF!</definedName>
    <definedName name="MO_ColAcero_Escalera">#REF!</definedName>
    <definedName name="MO_ColAcero_Escalera_10">#REF!</definedName>
    <definedName name="MO_ColAcero_Escalera_11">#REF!</definedName>
    <definedName name="MO_ColAcero_Escalera_6">#REF!</definedName>
    <definedName name="MO_ColAcero_Escalera_7">#REF!</definedName>
    <definedName name="MO_ColAcero_Escalera_8">#REF!</definedName>
    <definedName name="MO_ColAcero_Escalera_9">#REF!</definedName>
    <definedName name="MO_ColAcero_G60_QQ" localSheetId="1">#REF!</definedName>
    <definedName name="MO_ColAcero_G60_QQ">#REF!</definedName>
    <definedName name="MO_ColAcero_G60_QQ_10">#REF!</definedName>
    <definedName name="MO_ColAcero_G60_QQ_11">#REF!</definedName>
    <definedName name="MO_ColAcero_G60_QQ_6">#REF!</definedName>
    <definedName name="MO_ColAcero_G60_QQ_7">#REF!</definedName>
    <definedName name="MO_ColAcero_G60_QQ_8">#REF!</definedName>
    <definedName name="MO_ColAcero_G60_QQ_9">#REF!</definedName>
    <definedName name="MO_ColAcero_Malla" localSheetId="1">#REF!</definedName>
    <definedName name="MO_ColAcero_Malla">#REF!</definedName>
    <definedName name="MO_ColAcero_Malla_10">#REF!</definedName>
    <definedName name="MO_ColAcero_Malla_11">#REF!</definedName>
    <definedName name="MO_ColAcero_Malla_6">#REF!</definedName>
    <definedName name="MO_ColAcero_Malla_7">#REF!</definedName>
    <definedName name="MO_ColAcero_Malla_8">#REF!</definedName>
    <definedName name="MO_ColAcero_Malla_9">#REF!</definedName>
    <definedName name="MO_ColAcero_QQ" localSheetId="1">#REF!</definedName>
    <definedName name="MO_ColAcero_QQ">[6]MO!$B$612</definedName>
    <definedName name="MO_ColAcero_QQ_10">#REF!</definedName>
    <definedName name="MO_ColAcero_QQ_11">#REF!</definedName>
    <definedName name="MO_ColAcero_QQ_5">#REF!</definedName>
    <definedName name="MO_ColAcero_QQ_6">#REF!</definedName>
    <definedName name="MO_ColAcero_QQ_7">#REF!</definedName>
    <definedName name="MO_ColAcero_QQ_8">#REF!</definedName>
    <definedName name="MO_ColAcero_QQ_9">#REF!</definedName>
    <definedName name="MO_ColAcero_ZapMuros" localSheetId="1">#REF!</definedName>
    <definedName name="MO_ColAcero_ZapMuros">#REF!</definedName>
    <definedName name="MO_ColAcero_ZapMuros_10">#REF!</definedName>
    <definedName name="MO_ColAcero_ZapMuros_11">#REF!</definedName>
    <definedName name="MO_ColAcero_ZapMuros_6">#REF!</definedName>
    <definedName name="MO_ColAcero_ZapMuros_7">#REF!</definedName>
    <definedName name="MO_ColAcero_ZapMuros_8">#REF!</definedName>
    <definedName name="MO_ColAcero_ZapMuros_9">#REF!</definedName>
    <definedName name="MO_ColAcero14_Piso" localSheetId="1">#REF!</definedName>
    <definedName name="MO_ColAcero14_Piso">#REF!</definedName>
    <definedName name="MO_ColAcero14_Piso_10">#REF!</definedName>
    <definedName name="MO_ColAcero14_Piso_11">#REF!</definedName>
    <definedName name="MO_ColAcero14_Piso_6">#REF!</definedName>
    <definedName name="MO_ColAcero14_Piso_7">#REF!</definedName>
    <definedName name="MO_ColAcero14_Piso_8">#REF!</definedName>
    <definedName name="MO_ColAcero14_Piso_9">#REF!</definedName>
    <definedName name="MO_ColAcero38y12_Cols" localSheetId="1">#REF!</definedName>
    <definedName name="MO_ColAcero38y12_Cols">#REF!</definedName>
    <definedName name="MO_ColAcero38y12_Cols_10">#REF!</definedName>
    <definedName name="MO_ColAcero38y12_Cols_11">#REF!</definedName>
    <definedName name="MO_ColAcero38y12_Cols_6">#REF!</definedName>
    <definedName name="MO_ColAcero38y12_Cols_7">#REF!</definedName>
    <definedName name="MO_ColAcero38y12_Cols_8">#REF!</definedName>
    <definedName name="MO_ColAcero38y12_Cols_9">#REF!</definedName>
    <definedName name="MO_DEMOLICION_MURO_HA" localSheetId="1">#REF!</definedName>
    <definedName name="MO_DEMOLICION_MURO_HA">#REF!</definedName>
    <definedName name="MO_DEMOLICION_MURO_HA_10">#REF!</definedName>
    <definedName name="MO_DEMOLICION_MURO_HA_11">#REF!</definedName>
    <definedName name="MO_DEMOLICION_MURO_HA_6">#REF!</definedName>
    <definedName name="MO_DEMOLICION_MURO_HA_7">#REF!</definedName>
    <definedName name="MO_DEMOLICION_MURO_HA_8">#REF!</definedName>
    <definedName name="MO_DEMOLICION_MURO_HA_9">#REF!</definedName>
    <definedName name="MO_ELEC_BREAKERS" localSheetId="1">#REF!</definedName>
    <definedName name="MO_ELEC_BREAKERS">#REF!</definedName>
    <definedName name="MO_ELEC_BREAKERS_10">#REF!</definedName>
    <definedName name="MO_ELEC_BREAKERS_11">#REF!</definedName>
    <definedName name="MO_ELEC_BREAKERS_6">#REF!</definedName>
    <definedName name="MO_ELEC_BREAKERS_7">#REF!</definedName>
    <definedName name="MO_ELEC_BREAKERS_8">#REF!</definedName>
    <definedName name="MO_ELEC_BREAKERS_9">#REF!</definedName>
    <definedName name="MO_ELEC_INTERRUPTOR_3W" localSheetId="1">#REF!</definedName>
    <definedName name="MO_ELEC_INTERRUPTOR_3W">#REF!</definedName>
    <definedName name="MO_ELEC_INTERRUPTOR_3W_10">#REF!</definedName>
    <definedName name="MO_ELEC_INTERRUPTOR_3W_11">#REF!</definedName>
    <definedName name="MO_ELEC_INTERRUPTOR_3W_6">#REF!</definedName>
    <definedName name="MO_ELEC_INTERRUPTOR_3W_7">#REF!</definedName>
    <definedName name="MO_ELEC_INTERRUPTOR_3W_8">#REF!</definedName>
    <definedName name="MO_ELEC_INTERRUPTOR_3W_9">#REF!</definedName>
    <definedName name="MO_ELEC_INTERRUPTOR_4W" localSheetId="1">#REF!</definedName>
    <definedName name="MO_ELEC_INTERRUPTOR_4W">#REF!</definedName>
    <definedName name="MO_ELEC_INTERRUPTOR_4W_10">#REF!</definedName>
    <definedName name="MO_ELEC_INTERRUPTOR_4W_11">#REF!</definedName>
    <definedName name="MO_ELEC_INTERRUPTOR_4W_6">#REF!</definedName>
    <definedName name="MO_ELEC_INTERRUPTOR_4W_7">#REF!</definedName>
    <definedName name="MO_ELEC_INTERRUPTOR_4W_8">#REF!</definedName>
    <definedName name="MO_ELEC_INTERRUPTOR_4W_9">#REF!</definedName>
    <definedName name="MO_ELEC_INTERRUPTOR_DOB" localSheetId="1">#REF!</definedName>
    <definedName name="MO_ELEC_INTERRUPTOR_DOB">#REF!</definedName>
    <definedName name="MO_ELEC_INTERRUPTOR_DOB_10">#REF!</definedName>
    <definedName name="MO_ELEC_INTERRUPTOR_DOB_11">#REF!</definedName>
    <definedName name="MO_ELEC_INTERRUPTOR_DOB_6">#REF!</definedName>
    <definedName name="MO_ELEC_INTERRUPTOR_DOB_7">#REF!</definedName>
    <definedName name="MO_ELEC_INTERRUPTOR_DOB_8">#REF!</definedName>
    <definedName name="MO_ELEC_INTERRUPTOR_DOB_9">#REF!</definedName>
    <definedName name="MO_ELEC_INTERRUPTOR_SENC" localSheetId="1">#REF!</definedName>
    <definedName name="MO_ELEC_INTERRUPTOR_SENC">#REF!</definedName>
    <definedName name="MO_ELEC_INTERRUPTOR_SENC_10">#REF!</definedName>
    <definedName name="MO_ELEC_INTERRUPTOR_SENC_11">#REF!</definedName>
    <definedName name="MO_ELEC_INTERRUPTOR_SENC_6">#REF!</definedName>
    <definedName name="MO_ELEC_INTERRUPTOR_SENC_7">#REF!</definedName>
    <definedName name="MO_ELEC_INTERRUPTOR_SENC_8">#REF!</definedName>
    <definedName name="MO_ELEC_INTERRUPTOR_SENC_9">#REF!</definedName>
    <definedName name="MO_ELEC_INTERRUPTOR_TRIPLE" localSheetId="1">#REF!</definedName>
    <definedName name="MO_ELEC_INTERRUPTOR_TRIPLE">#REF!</definedName>
    <definedName name="MO_ELEC_INTERRUPTOR_TRIPLE_10">#REF!</definedName>
    <definedName name="MO_ELEC_INTERRUPTOR_TRIPLE_11">#REF!</definedName>
    <definedName name="MO_ELEC_INTERRUPTOR_TRIPLE_6">#REF!</definedName>
    <definedName name="MO_ELEC_INTERRUPTOR_TRIPLE_7">#REF!</definedName>
    <definedName name="MO_ELEC_INTERRUPTOR_TRIPLE_8">#REF!</definedName>
    <definedName name="MO_ELEC_INTERRUPTOR_TRIPLE_9">#REF!</definedName>
    <definedName name="MO_ELEC_LAMPARA_FLUORESCENTE" localSheetId="1">#REF!</definedName>
    <definedName name="MO_ELEC_LAMPARA_FLUORESCENTE">#REF!</definedName>
    <definedName name="MO_ELEC_LAMPARA_FLUORESCENTE_10">#REF!</definedName>
    <definedName name="MO_ELEC_LAMPARA_FLUORESCENTE_11">#REF!</definedName>
    <definedName name="MO_ELEC_LAMPARA_FLUORESCENTE_6">#REF!</definedName>
    <definedName name="MO_ELEC_LAMPARA_FLUORESCENTE_7">#REF!</definedName>
    <definedName name="MO_ELEC_LAMPARA_FLUORESCENTE_8">#REF!</definedName>
    <definedName name="MO_ELEC_LAMPARA_FLUORESCENTE_9">#REF!</definedName>
    <definedName name="MO_ELEC_LUZ_CENITAL" localSheetId="1">#REF!</definedName>
    <definedName name="MO_ELEC_LUZ_CENITAL">#REF!</definedName>
    <definedName name="MO_ELEC_LUZ_CENITAL_10">#REF!</definedName>
    <definedName name="MO_ELEC_LUZ_CENITAL_11">#REF!</definedName>
    <definedName name="MO_ELEC_LUZ_CENITAL_6">#REF!</definedName>
    <definedName name="MO_ELEC_LUZ_CENITAL_7">#REF!</definedName>
    <definedName name="MO_ELEC_LUZ_CENITAL_8">#REF!</definedName>
    <definedName name="MO_ELEC_LUZ_CENITAL_9">#REF!</definedName>
    <definedName name="MO_ELEC_PANEL_DIST" localSheetId="1">#REF!</definedName>
    <definedName name="MO_ELEC_PANEL_DIST">#REF!</definedName>
    <definedName name="MO_ELEC_PANEL_DIST_10">#REF!</definedName>
    <definedName name="MO_ELEC_PANEL_DIST_11">#REF!</definedName>
    <definedName name="MO_ELEC_PANEL_DIST_6">#REF!</definedName>
    <definedName name="MO_ELEC_PANEL_DIST_7">#REF!</definedName>
    <definedName name="MO_ELEC_PANEL_DIST_8">#REF!</definedName>
    <definedName name="MO_ELEC_PANEL_DIST_9">#REF!</definedName>
    <definedName name="MO_ELEC_TOMACORRIENTE_110" localSheetId="1">#REF!</definedName>
    <definedName name="MO_ELEC_TOMACORRIENTE_110">#REF!</definedName>
    <definedName name="MO_ELEC_TOMACORRIENTE_110_10">#REF!</definedName>
    <definedName name="MO_ELEC_TOMACORRIENTE_110_11">#REF!</definedName>
    <definedName name="MO_ELEC_TOMACORRIENTE_110_6">#REF!</definedName>
    <definedName name="MO_ELEC_TOMACORRIENTE_110_7">#REF!</definedName>
    <definedName name="MO_ELEC_TOMACORRIENTE_110_8">#REF!</definedName>
    <definedName name="MO_ELEC_TOMACORRIENTE_110_9">#REF!</definedName>
    <definedName name="MO_ELEC_TOMACORRIENTE_220" localSheetId="1">#REF!</definedName>
    <definedName name="MO_ELEC_TOMACORRIENTE_220">#REF!</definedName>
    <definedName name="MO_ELEC_TOMACORRIENTE_220_10">#REF!</definedName>
    <definedName name="MO_ELEC_TOMACORRIENTE_220_11">#REF!</definedName>
    <definedName name="MO_ELEC_TOMACORRIENTE_220_6">#REF!</definedName>
    <definedName name="MO_ELEC_TOMACORRIENTE_220_7">#REF!</definedName>
    <definedName name="MO_ELEC_TOMACORRIENTE_220_8">#REF!</definedName>
    <definedName name="MO_ELEC_TOMACORRIENTE_220_9">#REF!</definedName>
    <definedName name="MO_ENTABLILLADOS" localSheetId="1">#REF!</definedName>
    <definedName name="MO_ENTABLILLADOS">#REF!</definedName>
    <definedName name="MO_ENTABLILLADOS_10">#REF!</definedName>
    <definedName name="MO_ENTABLILLADOS_11">#REF!</definedName>
    <definedName name="MO_ENTABLILLADOS_6">#REF!</definedName>
    <definedName name="MO_ENTABLILLADOS_7">#REF!</definedName>
    <definedName name="MO_ENTABLILLADOS_8">#REF!</definedName>
    <definedName name="MO_ENTABLILLADOS_9">#REF!</definedName>
    <definedName name="MO_ESCALON_GRANITO" localSheetId="1">#REF!</definedName>
    <definedName name="MO_ESCALON_GRANITO">#REF!</definedName>
    <definedName name="MO_ESCALON_GRANITO_10">#REF!</definedName>
    <definedName name="MO_ESCALON_GRANITO_11">#REF!</definedName>
    <definedName name="MO_ESCALON_GRANITO_6">#REF!</definedName>
    <definedName name="MO_ESCALON_GRANITO_7">#REF!</definedName>
    <definedName name="MO_ESCALON_GRANITO_8">#REF!</definedName>
    <definedName name="MO_ESCALON_GRANITO_9">#REF!</definedName>
    <definedName name="MO_ESCALON_HUELLA_y_CONTRAHUELLA" localSheetId="1">#REF!</definedName>
    <definedName name="MO_ESCALON_HUELLA_y_CONTRAHUELLA">#REF!</definedName>
    <definedName name="MO_ESCALON_HUELLA_y_CONTRAHUELLA_10">#REF!</definedName>
    <definedName name="MO_ESCALON_HUELLA_y_CONTRAHUELLA_11">#REF!</definedName>
    <definedName name="MO_ESCALON_HUELLA_y_CONTRAHUELLA_6">#REF!</definedName>
    <definedName name="MO_ESCALON_HUELLA_y_CONTRAHUELLA_7">#REF!</definedName>
    <definedName name="MO_ESCALON_HUELLA_y_CONTRAHUELLA_8">#REF!</definedName>
    <definedName name="MO_ESCALON_HUELLA_y_CONTRAHUELLA_9">#REF!</definedName>
    <definedName name="MO_ESTRIAS" localSheetId="1">#REF!</definedName>
    <definedName name="MO_ESTRIAS">#REF!</definedName>
    <definedName name="MO_ESTRIAS_10">#REF!</definedName>
    <definedName name="MO_ESTRIAS_11">#REF!</definedName>
    <definedName name="MO_ESTRIAS_6">#REF!</definedName>
    <definedName name="MO_ESTRIAS_7">#REF!</definedName>
    <definedName name="MO_ESTRIAS_8">#REF!</definedName>
    <definedName name="MO_ESTRIAS_9">#REF!</definedName>
    <definedName name="MO_EXC_CALICHE_MANO_3M" localSheetId="1">#REF!</definedName>
    <definedName name="MO_EXC_CALICHE_MANO_3M">#REF!</definedName>
    <definedName name="MO_EXC_CALICHE_MANO_3M_10">#REF!</definedName>
    <definedName name="MO_EXC_CALICHE_MANO_3M_11">#REF!</definedName>
    <definedName name="MO_EXC_CALICHE_MANO_3M_6">#REF!</definedName>
    <definedName name="MO_EXC_CALICHE_MANO_3M_7">#REF!</definedName>
    <definedName name="MO_EXC_CALICHE_MANO_3M_8">#REF!</definedName>
    <definedName name="MO_EXC_CALICHE_MANO_3M_9">#REF!</definedName>
    <definedName name="MO_EXC_ROCA_BLANDA_MANO_3M" localSheetId="1">#REF!</definedName>
    <definedName name="MO_EXC_ROCA_BLANDA_MANO_3M">#REF!</definedName>
    <definedName name="MO_EXC_ROCA_BLANDA_MANO_3M_10">#REF!</definedName>
    <definedName name="MO_EXC_ROCA_BLANDA_MANO_3M_11">#REF!</definedName>
    <definedName name="MO_EXC_ROCA_BLANDA_MANO_3M_6">#REF!</definedName>
    <definedName name="MO_EXC_ROCA_BLANDA_MANO_3M_7">#REF!</definedName>
    <definedName name="MO_EXC_ROCA_BLANDA_MANO_3M_8">#REF!</definedName>
    <definedName name="MO_EXC_ROCA_BLANDA_MANO_3M_9">#REF!</definedName>
    <definedName name="MO_EXC_ROCA_COMP_3M" localSheetId="1">#REF!</definedName>
    <definedName name="MO_EXC_ROCA_COMP_3M">#REF!</definedName>
    <definedName name="MO_EXC_ROCA_COMP_3M_10">#REF!</definedName>
    <definedName name="MO_EXC_ROCA_COMP_3M_11">#REF!</definedName>
    <definedName name="MO_EXC_ROCA_COMP_3M_6">#REF!</definedName>
    <definedName name="MO_EXC_ROCA_COMP_3M_7">#REF!</definedName>
    <definedName name="MO_EXC_ROCA_COMP_3M_8">#REF!</definedName>
    <definedName name="MO_EXC_ROCA_COMP_3M_9">#REF!</definedName>
    <definedName name="MO_EXC_ROCA_MANO_3M" localSheetId="1">#REF!</definedName>
    <definedName name="MO_EXC_ROCA_MANO_3M">#REF!</definedName>
    <definedName name="MO_EXC_ROCA_MANO_3M_10">#REF!</definedName>
    <definedName name="MO_EXC_ROCA_MANO_3M_11">#REF!</definedName>
    <definedName name="MO_EXC_ROCA_MANO_3M_6">#REF!</definedName>
    <definedName name="MO_EXC_ROCA_MANO_3M_7">#REF!</definedName>
    <definedName name="MO_EXC_ROCA_MANO_3M_8">#REF!</definedName>
    <definedName name="MO_EXC_ROCA_MANO_3M_9">#REF!</definedName>
    <definedName name="MO_EXC_TIERRA_MANO_3M" localSheetId="1">#REF!</definedName>
    <definedName name="MO_EXC_TIERRA_MANO_3M">#REF!</definedName>
    <definedName name="MO_EXC_TIERRA_MANO_3M_10">#REF!</definedName>
    <definedName name="MO_EXC_TIERRA_MANO_3M_11">#REF!</definedName>
    <definedName name="MO_EXC_TIERRA_MANO_3M_6">#REF!</definedName>
    <definedName name="MO_EXC_TIERRA_MANO_3M_7">#REF!</definedName>
    <definedName name="MO_EXC_TIERRA_MANO_3M_8">#REF!</definedName>
    <definedName name="MO_EXC_TIERRA_MANO_3M_9">#REF!</definedName>
    <definedName name="MO_FINO_TECHO_HOR" localSheetId="1">#REF!</definedName>
    <definedName name="MO_FINO_TECHO_HOR">#REF!</definedName>
    <definedName name="MO_FINO_TECHO_HOR_10">#REF!</definedName>
    <definedName name="MO_FINO_TECHO_HOR_11">#REF!</definedName>
    <definedName name="MO_FINO_TECHO_HOR_6">#REF!</definedName>
    <definedName name="MO_FINO_TECHO_HOR_7">#REF!</definedName>
    <definedName name="MO_FINO_TECHO_HOR_8">#REF!</definedName>
    <definedName name="MO_FINO_TECHO_HOR_9">#REF!</definedName>
    <definedName name="MO_FRAGUACHE" localSheetId="1">#REF!</definedName>
    <definedName name="MO_FRAGUACHE">#REF!</definedName>
    <definedName name="MO_FRAGUACHE_10">#REF!</definedName>
    <definedName name="MO_FRAGUACHE_11">#REF!</definedName>
    <definedName name="MO_FRAGUACHE_6">#REF!</definedName>
    <definedName name="MO_FRAGUACHE_7">#REF!</definedName>
    <definedName name="MO_FRAGUACHE_8">#REF!</definedName>
    <definedName name="MO_FRAGUACHE_9">#REF!</definedName>
    <definedName name="MO_GOTEROS" localSheetId="1">#REF!</definedName>
    <definedName name="MO_GOTEROS">#REF!</definedName>
    <definedName name="MO_GOTEROS_10">#REF!</definedName>
    <definedName name="MO_GOTEROS_11">#REF!</definedName>
    <definedName name="MO_GOTEROS_6">#REF!</definedName>
    <definedName name="MO_GOTEROS_7">#REF!</definedName>
    <definedName name="MO_GOTEROS_8">#REF!</definedName>
    <definedName name="MO_GOTEROS_9">#REF!</definedName>
    <definedName name="MO_NATILLA" localSheetId="1">#REF!</definedName>
    <definedName name="MO_NATILLA">#REF!</definedName>
    <definedName name="MO_NATILLA_10">#REF!</definedName>
    <definedName name="MO_NATILLA_11">#REF!</definedName>
    <definedName name="MO_NATILLA_6">#REF!</definedName>
    <definedName name="MO_NATILLA_7">#REF!</definedName>
    <definedName name="MO_NATILLA_8">#REF!</definedName>
    <definedName name="MO_NATILLA_9">#REF!</definedName>
    <definedName name="MO_PAÑETE_COLs" localSheetId="1">#REF!</definedName>
    <definedName name="MO_PAÑETE_COLs">#REF!</definedName>
    <definedName name="MO_PAÑETE_COLs_10">#REF!</definedName>
    <definedName name="MO_PAÑETE_COLs_11">#REF!</definedName>
    <definedName name="MO_PAÑETE_COLs_6">#REF!</definedName>
    <definedName name="MO_PAÑETE_COLs_7">#REF!</definedName>
    <definedName name="MO_PAÑETE_COLs_8">#REF!</definedName>
    <definedName name="MO_PAÑETE_COLs_9">#REF!</definedName>
    <definedName name="MO_PAÑETE_EXT" localSheetId="1">#REF!</definedName>
    <definedName name="MO_PAÑETE_EXT">#REF!</definedName>
    <definedName name="MO_PAÑETE_EXT_10">#REF!</definedName>
    <definedName name="MO_PAÑETE_EXT_11">#REF!</definedName>
    <definedName name="MO_PAÑETE_EXT_6">#REF!</definedName>
    <definedName name="MO_PAÑETE_EXT_7">#REF!</definedName>
    <definedName name="MO_PAÑETE_EXT_8">#REF!</definedName>
    <definedName name="MO_PAÑETE_EXT_9">#REF!</definedName>
    <definedName name="MO_PAÑETE_INT" localSheetId="1">#REF!</definedName>
    <definedName name="MO_PAÑETE_INT">#REF!</definedName>
    <definedName name="MO_PAÑETE_INT_10">#REF!</definedName>
    <definedName name="MO_PAÑETE_INT_11">#REF!</definedName>
    <definedName name="MO_PAÑETE_INT_6">#REF!</definedName>
    <definedName name="MO_PAÑETE_INT_7">#REF!</definedName>
    <definedName name="MO_PAÑETE_INT_8">#REF!</definedName>
    <definedName name="MO_PAÑETE_INT_9">#REF!</definedName>
    <definedName name="MO_PAÑETE_PULIDO" localSheetId="1">#REF!</definedName>
    <definedName name="MO_PAÑETE_PULIDO">#REF!</definedName>
    <definedName name="MO_PAÑETE_PULIDO_10">#REF!</definedName>
    <definedName name="MO_PAÑETE_PULIDO_11">#REF!</definedName>
    <definedName name="MO_PAÑETE_PULIDO_6">#REF!</definedName>
    <definedName name="MO_PAÑETE_PULIDO_7">#REF!</definedName>
    <definedName name="MO_PAÑETE_PULIDO_8">#REF!</definedName>
    <definedName name="MO_PAÑETE_PULIDO_9">#REF!</definedName>
    <definedName name="MO_PAÑETE_RASGADO" localSheetId="1">#REF!</definedName>
    <definedName name="MO_PAÑETE_RASGADO">#REF!</definedName>
    <definedName name="MO_PAÑETE_RASGADO_10">#REF!</definedName>
    <definedName name="MO_PAÑETE_RASGADO_11">#REF!</definedName>
    <definedName name="MO_PAÑETE_RASGADO_6">#REF!</definedName>
    <definedName name="MO_PAÑETE_RASGADO_7">#REF!</definedName>
    <definedName name="MO_PAÑETE_RASGADO_8">#REF!</definedName>
    <definedName name="MO_PAÑETE_RASGADO_9">#REF!</definedName>
    <definedName name="MO_PAÑETE_TECHOSyVIGAS" localSheetId="1">#REF!</definedName>
    <definedName name="MO_PAÑETE_TECHOSyVIGAS">#REF!</definedName>
    <definedName name="MO_PAÑETE_TECHOSyVIGAS_10">#REF!</definedName>
    <definedName name="MO_PAÑETE_TECHOSyVIGAS_11">#REF!</definedName>
    <definedName name="MO_PAÑETE_TECHOSyVIGAS_6">#REF!</definedName>
    <definedName name="MO_PAÑETE_TECHOSyVIGAS_7">#REF!</definedName>
    <definedName name="MO_PAÑETE_TECHOSyVIGAS_8">#REF!</definedName>
    <definedName name="MO_PAÑETE_TECHOSyVIGAS_9">#REF!</definedName>
    <definedName name="MO_PERRILLA" localSheetId="1">#REF!</definedName>
    <definedName name="MO_PERRILLA">#REF!</definedName>
    <definedName name="MO_PERRILLA_10">#REF!</definedName>
    <definedName name="MO_PERRILLA_11">#REF!</definedName>
    <definedName name="MO_PERRILLA_6">#REF!</definedName>
    <definedName name="MO_PERRILLA_7">#REF!</definedName>
    <definedName name="MO_PERRILLA_8">#REF!</definedName>
    <definedName name="MO_PERRILLA_9">#REF!</definedName>
    <definedName name="MO_PIEDRA" localSheetId="1">#REF!</definedName>
    <definedName name="MO_PIEDRA">#REF!</definedName>
    <definedName name="MO_PIEDRA_10">#REF!</definedName>
    <definedName name="MO_PIEDRA_11">#REF!</definedName>
    <definedName name="MO_PIEDRA_6">#REF!</definedName>
    <definedName name="MO_PIEDRA_7">#REF!</definedName>
    <definedName name="MO_PIEDRA_8">#REF!</definedName>
    <definedName name="MO_PIEDRA_9">#REF!</definedName>
    <definedName name="MO_PINTURA" localSheetId="1">#REF!</definedName>
    <definedName name="MO_PINTURA">#REF!</definedName>
    <definedName name="MO_PINTURA_10">#REF!</definedName>
    <definedName name="MO_PINTURA_11">#REF!</definedName>
    <definedName name="MO_PINTURA_6">#REF!</definedName>
    <definedName name="MO_PINTURA_7">#REF!</definedName>
    <definedName name="MO_PINTURA_8">#REF!</definedName>
    <definedName name="MO_PINTURA_9">#REF!</definedName>
    <definedName name="MO_PISO_ADOQUIN" localSheetId="1">#REF!</definedName>
    <definedName name="MO_PISO_ADOQUIN">#REF!</definedName>
    <definedName name="MO_PISO_ADOQUIN_10">#REF!</definedName>
    <definedName name="MO_PISO_ADOQUIN_11">#REF!</definedName>
    <definedName name="MO_PISO_ADOQUIN_6">#REF!</definedName>
    <definedName name="MO_PISO_ADOQUIN_7">#REF!</definedName>
    <definedName name="MO_PISO_ADOQUIN_8">#REF!</definedName>
    <definedName name="MO_PISO_ADOQUIN_9">#REF!</definedName>
    <definedName name="MO_PISO_CementoPulido" localSheetId="1">#REF!</definedName>
    <definedName name="MO_PISO_CementoPulido">#REF!</definedName>
    <definedName name="MO_PISO_CementoPulido_10">#REF!</definedName>
    <definedName name="MO_PISO_CementoPulido_11">#REF!</definedName>
    <definedName name="MO_PISO_CementoPulido_6">#REF!</definedName>
    <definedName name="MO_PISO_CementoPulido_7">#REF!</definedName>
    <definedName name="MO_PISO_CementoPulido_8">#REF!</definedName>
    <definedName name="MO_PISO_CementoPulido_9">#REF!</definedName>
    <definedName name="MO_PISO_CERAMICA_15a20" localSheetId="1">#REF!</definedName>
    <definedName name="MO_PISO_CERAMICA_15a20">#REF!</definedName>
    <definedName name="MO_PISO_CERAMICA_15a20_10">#REF!</definedName>
    <definedName name="MO_PISO_CERAMICA_15a20_11">#REF!</definedName>
    <definedName name="MO_PISO_CERAMICA_15a20_6">#REF!</definedName>
    <definedName name="MO_PISO_CERAMICA_15a20_7">#REF!</definedName>
    <definedName name="MO_PISO_CERAMICA_15a20_8">#REF!</definedName>
    <definedName name="MO_PISO_CERAMICA_15a20_9">#REF!</definedName>
    <definedName name="MO_PISO_CERAMICA_15a20_BASE" localSheetId="1">#REF!</definedName>
    <definedName name="MO_PISO_CERAMICA_15a20_BASE">#REF!</definedName>
    <definedName name="MO_PISO_CERAMICA_15a20_BASE_10">#REF!</definedName>
    <definedName name="MO_PISO_CERAMICA_15a20_BASE_11">#REF!</definedName>
    <definedName name="MO_PISO_CERAMICA_15a20_BASE_6">#REF!</definedName>
    <definedName name="MO_PISO_CERAMICA_15a20_BASE_7">#REF!</definedName>
    <definedName name="MO_PISO_CERAMICA_15a20_BASE_8">#REF!</definedName>
    <definedName name="MO_PISO_CERAMICA_15a20_BASE_9">#REF!</definedName>
    <definedName name="MO_PISO_CERAMICA_30a40" localSheetId="1">#REF!</definedName>
    <definedName name="MO_PISO_CERAMICA_30a40">#REF!</definedName>
    <definedName name="MO_PISO_CERAMICA_30a40_10">#REF!</definedName>
    <definedName name="MO_PISO_CERAMICA_30a40_11">#REF!</definedName>
    <definedName name="MO_PISO_CERAMICA_30a40_6">#REF!</definedName>
    <definedName name="MO_PISO_CERAMICA_30a40_7">#REF!</definedName>
    <definedName name="MO_PISO_CERAMICA_30a40_8">#REF!</definedName>
    <definedName name="MO_PISO_CERAMICA_30a40_9">#REF!</definedName>
    <definedName name="MO_PISO_CERAMICA_30a40_BASE" localSheetId="1">#REF!</definedName>
    <definedName name="MO_PISO_CERAMICA_30a40_BASE">#REF!</definedName>
    <definedName name="MO_PISO_CERAMICA_30a40_BASE_10">#REF!</definedName>
    <definedName name="MO_PISO_CERAMICA_30a40_BASE_11">#REF!</definedName>
    <definedName name="MO_PISO_CERAMICA_30a40_BASE_6">#REF!</definedName>
    <definedName name="MO_PISO_CERAMICA_30a40_BASE_7">#REF!</definedName>
    <definedName name="MO_PISO_CERAMICA_30a40_BASE_8">#REF!</definedName>
    <definedName name="MO_PISO_CERAMICA_30a40_BASE_9">#REF!</definedName>
    <definedName name="MO_PISO_FROTA_VIOL" localSheetId="1">#REF!</definedName>
    <definedName name="MO_PISO_FROTA_VIOL">#REF!</definedName>
    <definedName name="MO_PISO_FROTA_VIOL_10">#REF!</definedName>
    <definedName name="MO_PISO_FROTA_VIOL_11">#REF!</definedName>
    <definedName name="MO_PISO_FROTA_VIOL_6">#REF!</definedName>
    <definedName name="MO_PISO_FROTA_VIOL_7">#REF!</definedName>
    <definedName name="MO_PISO_FROTA_VIOL_8">#REF!</definedName>
    <definedName name="MO_PISO_FROTA_VIOL_9">#REF!</definedName>
    <definedName name="MO_PISO_FROTADO" localSheetId="1">#REF!</definedName>
    <definedName name="MO_PISO_FROTADO">#REF!</definedName>
    <definedName name="MO_PISO_FROTADO_10">#REF!</definedName>
    <definedName name="MO_PISO_FROTADO_11">#REF!</definedName>
    <definedName name="MO_PISO_FROTADO_6">#REF!</definedName>
    <definedName name="MO_PISO_FROTADO_7">#REF!</definedName>
    <definedName name="MO_PISO_FROTADO_8">#REF!</definedName>
    <definedName name="MO_PISO_FROTADO_9">#REF!</definedName>
    <definedName name="MO_PISO_GRANITO_25" localSheetId="1">#REF!</definedName>
    <definedName name="MO_PISO_GRANITO_25">#REF!</definedName>
    <definedName name="MO_PISO_GRANITO_25_10">#REF!</definedName>
    <definedName name="MO_PISO_GRANITO_25_11">#REF!</definedName>
    <definedName name="MO_PISO_GRANITO_25_6">#REF!</definedName>
    <definedName name="MO_PISO_GRANITO_25_7">#REF!</definedName>
    <definedName name="MO_PISO_GRANITO_25_8">#REF!</definedName>
    <definedName name="MO_PISO_GRANITO_25_9">#REF!</definedName>
    <definedName name="MO_PISO_GRANITO_30" localSheetId="1">#REF!</definedName>
    <definedName name="MO_PISO_GRANITO_30">#REF!</definedName>
    <definedName name="MO_PISO_GRANITO_30_10">#REF!</definedName>
    <definedName name="MO_PISO_GRANITO_30_11">#REF!</definedName>
    <definedName name="MO_PISO_GRANITO_30_6">#REF!</definedName>
    <definedName name="MO_PISO_GRANITO_30_7">#REF!</definedName>
    <definedName name="MO_PISO_GRANITO_30_8">#REF!</definedName>
    <definedName name="MO_PISO_GRANITO_30_9">#REF!</definedName>
    <definedName name="MO_PISO_GRANITO_33" localSheetId="1">#REF!</definedName>
    <definedName name="MO_PISO_GRANITO_33">#REF!</definedName>
    <definedName name="MO_PISO_GRANITO_33_10">#REF!</definedName>
    <definedName name="MO_PISO_GRANITO_33_11">#REF!</definedName>
    <definedName name="MO_PISO_GRANITO_33_6">#REF!</definedName>
    <definedName name="MO_PISO_GRANITO_33_7">#REF!</definedName>
    <definedName name="MO_PISO_GRANITO_33_8">#REF!</definedName>
    <definedName name="MO_PISO_GRANITO_33_9">#REF!</definedName>
    <definedName name="MO_PISO_GRANITO_40" localSheetId="1">#REF!</definedName>
    <definedName name="MO_PISO_GRANITO_40">#REF!</definedName>
    <definedName name="MO_PISO_GRANITO_40_10">#REF!</definedName>
    <definedName name="MO_PISO_GRANITO_40_11">#REF!</definedName>
    <definedName name="MO_PISO_GRANITO_40_6">#REF!</definedName>
    <definedName name="MO_PISO_GRANITO_40_7">#REF!</definedName>
    <definedName name="MO_PISO_GRANITO_40_8">#REF!</definedName>
    <definedName name="MO_PISO_GRANITO_40_9">#REF!</definedName>
    <definedName name="MO_PISO_GRANITO_50" localSheetId="1">#REF!</definedName>
    <definedName name="MO_PISO_GRANITO_50">#REF!</definedName>
    <definedName name="MO_PISO_GRANITO_50_10">#REF!</definedName>
    <definedName name="MO_PISO_GRANITO_50_11">#REF!</definedName>
    <definedName name="MO_PISO_GRANITO_50_6">#REF!</definedName>
    <definedName name="MO_PISO_GRANITO_50_7">#REF!</definedName>
    <definedName name="MO_PISO_GRANITO_50_8">#REF!</definedName>
    <definedName name="MO_PISO_GRANITO_50_9">#REF!</definedName>
    <definedName name="MO_PISO_PULI_VIOL" localSheetId="1">#REF!</definedName>
    <definedName name="MO_PISO_PULI_VIOL">#REF!</definedName>
    <definedName name="MO_PISO_PULI_VIOL_10">#REF!</definedName>
    <definedName name="MO_PISO_PULI_VIOL_11">#REF!</definedName>
    <definedName name="MO_PISO_PULI_VIOL_6">#REF!</definedName>
    <definedName name="MO_PISO_PULI_VIOL_7">#REF!</definedName>
    <definedName name="MO_PISO_PULI_VIOL_8">#REF!</definedName>
    <definedName name="MO_PISO_PULI_VIOL_9">#REF!</definedName>
    <definedName name="MO_PISO_ZOCALO" localSheetId="1">#REF!</definedName>
    <definedName name="MO_PISO_ZOCALO">#REF!</definedName>
    <definedName name="MO_PISO_ZOCALO_10">#REF!</definedName>
    <definedName name="MO_PISO_ZOCALO_11">#REF!</definedName>
    <definedName name="MO_PISO_ZOCALO_6">#REF!</definedName>
    <definedName name="MO_PISO_ZOCALO_7">#REF!</definedName>
    <definedName name="MO_PISO_ZOCALO_8">#REF!</definedName>
    <definedName name="MO_PISO_ZOCALO_9">#REF!</definedName>
    <definedName name="MO_REPELLO" localSheetId="1">#REF!</definedName>
    <definedName name="MO_REPELLO">#REF!</definedName>
    <definedName name="MO_REPELLO_10">#REF!</definedName>
    <definedName name="MO_REPELLO_11">#REF!</definedName>
    <definedName name="MO_REPELLO_6">#REF!</definedName>
    <definedName name="MO_REPELLO_7">#REF!</definedName>
    <definedName name="MO_REPELLO_8">#REF!</definedName>
    <definedName name="MO_REPELLO_9">#REF!</definedName>
    <definedName name="MO_RESANE_FROTA" localSheetId="1">#REF!</definedName>
    <definedName name="MO_RESANE_FROTA">#REF!</definedName>
    <definedName name="MO_RESANE_FROTA_10">#REF!</definedName>
    <definedName name="MO_RESANE_FROTA_11">#REF!</definedName>
    <definedName name="MO_RESANE_FROTA_6">#REF!</definedName>
    <definedName name="MO_RESANE_FROTA_7">#REF!</definedName>
    <definedName name="MO_RESANE_FROTA_8">#REF!</definedName>
    <definedName name="MO_RESANE_FROTA_9">#REF!</definedName>
    <definedName name="MO_RESANE_GOMA" localSheetId="1">#REF!</definedName>
    <definedName name="MO_RESANE_GOMA">#REF!</definedName>
    <definedName name="MO_RESANE_GOMA_10">#REF!</definedName>
    <definedName name="MO_RESANE_GOMA_11">#REF!</definedName>
    <definedName name="MO_RESANE_GOMA_6">#REF!</definedName>
    <definedName name="MO_RESANE_GOMA_7">#REF!</definedName>
    <definedName name="MO_RESANE_GOMA_8">#REF!</definedName>
    <definedName name="MO_RESANE_GOMA_9">#REF!</definedName>
    <definedName name="MO_SUBIDA_BLOCK_4_1NIVEL" localSheetId="1">#REF!</definedName>
    <definedName name="MO_SUBIDA_BLOCK_4_1NIVEL">#REF!</definedName>
    <definedName name="MO_SUBIDA_BLOCK_4_1NIVEL_10">#REF!</definedName>
    <definedName name="MO_SUBIDA_BLOCK_4_1NIVEL_11">#REF!</definedName>
    <definedName name="MO_SUBIDA_BLOCK_4_1NIVEL_6">#REF!</definedName>
    <definedName name="MO_SUBIDA_BLOCK_4_1NIVEL_7">#REF!</definedName>
    <definedName name="MO_SUBIDA_BLOCK_4_1NIVEL_8">#REF!</definedName>
    <definedName name="MO_SUBIDA_BLOCK_4_1NIVEL_9">#REF!</definedName>
    <definedName name="MO_SUBIDA_BLOCK_6_1NIVEL" localSheetId="1">#REF!</definedName>
    <definedName name="MO_SUBIDA_BLOCK_6_1NIVEL">#REF!</definedName>
    <definedName name="MO_SUBIDA_BLOCK_6_1NIVEL_10">#REF!</definedName>
    <definedName name="MO_SUBIDA_BLOCK_6_1NIVEL_11">#REF!</definedName>
    <definedName name="MO_SUBIDA_BLOCK_6_1NIVEL_6">#REF!</definedName>
    <definedName name="MO_SUBIDA_BLOCK_6_1NIVEL_7">#REF!</definedName>
    <definedName name="MO_SUBIDA_BLOCK_6_1NIVEL_8">#REF!</definedName>
    <definedName name="MO_SUBIDA_BLOCK_6_1NIVEL_9">#REF!</definedName>
    <definedName name="MO_SUBIDA_BLOCK_8_1NIVEL" localSheetId="1">#REF!</definedName>
    <definedName name="MO_SUBIDA_BLOCK_8_1NIVEL">#REF!</definedName>
    <definedName name="MO_SUBIDA_BLOCK_8_1NIVEL_10">#REF!</definedName>
    <definedName name="MO_SUBIDA_BLOCK_8_1NIVEL_11">#REF!</definedName>
    <definedName name="MO_SUBIDA_BLOCK_8_1NIVEL_6">#REF!</definedName>
    <definedName name="MO_SUBIDA_BLOCK_8_1NIVEL_7">#REF!</definedName>
    <definedName name="MO_SUBIDA_BLOCK_8_1NIVEL_8">#REF!</definedName>
    <definedName name="MO_SUBIDA_BLOCK_8_1NIVEL_9">#REF!</definedName>
    <definedName name="MO_SUBIDA_CEMENTO_1NIVEL" localSheetId="1">#REF!</definedName>
    <definedName name="MO_SUBIDA_CEMENTO_1NIVEL">#REF!</definedName>
    <definedName name="MO_SUBIDA_CEMENTO_1NIVEL_10">#REF!</definedName>
    <definedName name="MO_SUBIDA_CEMENTO_1NIVEL_11">#REF!</definedName>
    <definedName name="MO_SUBIDA_CEMENTO_1NIVEL_6">#REF!</definedName>
    <definedName name="MO_SUBIDA_CEMENTO_1NIVEL_7">#REF!</definedName>
    <definedName name="MO_SUBIDA_CEMENTO_1NIVEL_8">#REF!</definedName>
    <definedName name="MO_SUBIDA_CEMENTO_1NIVEL_9">#REF!</definedName>
    <definedName name="MO_SUBIDA_MADERA_1NIVEL" localSheetId="1">#REF!</definedName>
    <definedName name="MO_SUBIDA_MADERA_1NIVEL">#REF!</definedName>
    <definedName name="MO_SUBIDA_MADERA_1NIVEL_10">#REF!</definedName>
    <definedName name="MO_SUBIDA_MADERA_1NIVEL_11">#REF!</definedName>
    <definedName name="MO_SUBIDA_MADERA_1NIVEL_6">#REF!</definedName>
    <definedName name="MO_SUBIDA_MADERA_1NIVEL_7">#REF!</definedName>
    <definedName name="MO_SUBIDA_MADERA_1NIVEL_8">#REF!</definedName>
    <definedName name="MO_SUBIDA_MADERA_1NIVEL_9">#REF!</definedName>
    <definedName name="MO_SUBIR_AGREGADO_1Nivel" localSheetId="1">#REF!</definedName>
    <definedName name="MO_SUBIR_AGREGADO_1Nivel">#REF!</definedName>
    <definedName name="MO_SUBIR_AGREGADO_1Nivel_10">#REF!</definedName>
    <definedName name="MO_SUBIR_AGREGADO_1Nivel_11">#REF!</definedName>
    <definedName name="MO_SUBIR_AGREGADO_1Nivel_6">#REF!</definedName>
    <definedName name="MO_SUBIR_AGREGADO_1Nivel_7">#REF!</definedName>
    <definedName name="MO_SUBIR_AGREGADO_1Nivel_8">#REF!</definedName>
    <definedName name="MO_SUBIR_AGREGADO_1Nivel_9">#REF!</definedName>
    <definedName name="MO_SubirAcero_1Niv" localSheetId="1">#REF!</definedName>
    <definedName name="MO_SubirAcero_1Niv">#REF!</definedName>
    <definedName name="MO_SubirAcero_1Niv_10">#REF!</definedName>
    <definedName name="MO_SubirAcero_1Niv_11">#REF!</definedName>
    <definedName name="MO_SubirAcero_1Niv_6">#REF!</definedName>
    <definedName name="MO_SubirAcero_1Niv_7">#REF!</definedName>
    <definedName name="MO_SubirAcero_1Niv_8">#REF!</definedName>
    <definedName name="MO_SubirAcero_1Niv_9">#REF!</definedName>
    <definedName name="MO_ZABALETA_PISO" localSheetId="1">#REF!</definedName>
    <definedName name="MO_ZABALETA_PISO">#REF!</definedName>
    <definedName name="MO_ZABALETA_PISO_10">#REF!</definedName>
    <definedName name="MO_ZABALETA_PISO_11">#REF!</definedName>
    <definedName name="MO_ZABALETA_PISO_6">#REF!</definedName>
    <definedName name="MO_ZABALETA_PISO_7">#REF!</definedName>
    <definedName name="MO_ZABALETA_PISO_8">#REF!</definedName>
    <definedName name="MO_ZABALETA_PISO_9">#REF!</definedName>
    <definedName name="MO_ZABALETA_TECHO" localSheetId="1">#REF!</definedName>
    <definedName name="MO_ZABALETA_TECHO">#REF!</definedName>
    <definedName name="MO_ZABALETA_TECHO_10">#REF!</definedName>
    <definedName name="MO_ZABALETA_TECHO_11">#REF!</definedName>
    <definedName name="MO_ZABALETA_TECHO_6">#REF!</definedName>
    <definedName name="MO_ZABALETA_TECHO_7">#REF!</definedName>
    <definedName name="MO_ZABALETA_TECHO_8">#REF!</definedName>
    <definedName name="MO_ZABALETA_TECHO_9">#REF!</definedName>
    <definedName name="moacero" localSheetId="1">#REF!</definedName>
    <definedName name="moacero">#REF!</definedName>
    <definedName name="moacero_8">#REF!</definedName>
    <definedName name="moaceromalla" localSheetId="1">#REF!</definedName>
    <definedName name="moaceromalla">#REF!</definedName>
    <definedName name="moaceromalla_8">#REF!</definedName>
    <definedName name="moacerorampa" localSheetId="1">#REF!</definedName>
    <definedName name="moacerorampa">#REF!</definedName>
    <definedName name="moacerorampa_8">#REF!</definedName>
    <definedName name="MOLDE_ESTAMPADO" localSheetId="1">#REF!</definedName>
    <definedName name="MOLDE_ESTAMPADO">#REF!</definedName>
    <definedName name="MOLDE_ESTAMPADO_10">#REF!</definedName>
    <definedName name="MOLDE_ESTAMPADO_11">#REF!</definedName>
    <definedName name="MOLDE_ESTAMPADO_6">#REF!</definedName>
    <definedName name="MOLDE_ESTAMPADO_7">#REF!</definedName>
    <definedName name="MOLDE_ESTAMPADO_8">#REF!</definedName>
    <definedName name="MOLDE_ESTAMPADO_9">#REF!</definedName>
    <definedName name="MOPISOCERAMICA" localSheetId="1">#REF!</definedName>
    <definedName name="MOPISOCERAMICA">[7]INS!#REF!</definedName>
    <definedName name="MOPISOCERAMICA_6">#REF!</definedName>
    <definedName name="MOPISOCERAMICA_8">#REF!</definedName>
    <definedName name="MOTONIVELADORA" localSheetId="1">#REF!</definedName>
    <definedName name="MOTONIVELADORA">#REF!</definedName>
    <definedName name="MOTONIVELADORA_10">#REF!</definedName>
    <definedName name="MOTONIVELADORA_11">#REF!</definedName>
    <definedName name="MOTONIVELADORA_6">#REF!</definedName>
    <definedName name="MOTONIVELADORA_7">#REF!</definedName>
    <definedName name="MOTONIVELADORA_8">#REF!</definedName>
    <definedName name="MOTONIVELADORA_9">#REF!</definedName>
    <definedName name="MURO30" localSheetId="1">#REF!</definedName>
    <definedName name="MURO30">#REF!</definedName>
    <definedName name="MURO30_6">#REF!</definedName>
    <definedName name="MUROBOVEDA12A10X2AD" localSheetId="1">#REF!</definedName>
    <definedName name="MUROBOVEDA12A10X2AD">#REF!</definedName>
    <definedName name="MUROBOVEDA12A10X2AD_6">#REF!</definedName>
    <definedName name="NADA" localSheetId="1">[21]Insumos!#REF!</definedName>
    <definedName name="NADA">[21]Insumos!#REF!</definedName>
    <definedName name="NADA_6">#REF!</definedName>
    <definedName name="NADA_8">#REF!</definedName>
    <definedName name="NAMA">#REF!</definedName>
    <definedName name="NINGUNA" localSheetId="1">[21]Insumos!#REF!</definedName>
    <definedName name="NINGUNA">[21]Insumos!#REF!</definedName>
    <definedName name="NINGUNA_6">#REF!</definedName>
    <definedName name="NINGUNA_8">#REF!</definedName>
    <definedName name="NIPLE_ACERO_12x3" localSheetId="1">#REF!</definedName>
    <definedName name="NIPLE_ACERO_12x3">#REF!</definedName>
    <definedName name="NIPLE_ACERO_12x3_10">#REF!</definedName>
    <definedName name="NIPLE_ACERO_12x3_11">#REF!</definedName>
    <definedName name="NIPLE_ACERO_12x3_6">#REF!</definedName>
    <definedName name="NIPLE_ACERO_12x3_7">#REF!</definedName>
    <definedName name="NIPLE_ACERO_12x3_8">#REF!</definedName>
    <definedName name="NIPLE_ACERO_12x3_9">#REF!</definedName>
    <definedName name="NIPLE_ACERO_16x2" localSheetId="1">#REF!</definedName>
    <definedName name="NIPLE_ACERO_16x2">#REF!</definedName>
    <definedName name="NIPLE_ACERO_16x2_10">#REF!</definedName>
    <definedName name="NIPLE_ACERO_16x2_11">#REF!</definedName>
    <definedName name="NIPLE_ACERO_16x2_6">#REF!</definedName>
    <definedName name="NIPLE_ACERO_16x2_7">#REF!</definedName>
    <definedName name="NIPLE_ACERO_16x2_8">#REF!</definedName>
    <definedName name="NIPLE_ACERO_16x2_9">#REF!</definedName>
    <definedName name="NIPLE_ACERO_16x3" localSheetId="1">#REF!</definedName>
    <definedName name="NIPLE_ACERO_16x3">#REF!</definedName>
    <definedName name="NIPLE_ACERO_16x3_10">#REF!</definedName>
    <definedName name="NIPLE_ACERO_16x3_11">#REF!</definedName>
    <definedName name="NIPLE_ACERO_16x3_6">#REF!</definedName>
    <definedName name="NIPLE_ACERO_16x3_7">#REF!</definedName>
    <definedName name="NIPLE_ACERO_16x3_8">#REF!</definedName>
    <definedName name="NIPLE_ACERO_16x3_9">#REF!</definedName>
    <definedName name="NIPLE_ACERO_20x3" localSheetId="1">#REF!</definedName>
    <definedName name="NIPLE_ACERO_20x3">#REF!</definedName>
    <definedName name="NIPLE_ACERO_20x3_10">#REF!</definedName>
    <definedName name="NIPLE_ACERO_20x3_11">#REF!</definedName>
    <definedName name="NIPLE_ACERO_20x3_6">#REF!</definedName>
    <definedName name="NIPLE_ACERO_20x3_7">#REF!</definedName>
    <definedName name="NIPLE_ACERO_20x3_8">#REF!</definedName>
    <definedName name="NIPLE_ACERO_20x3_9">#REF!</definedName>
    <definedName name="NIPLE_ACERO_6x3" localSheetId="1">#REF!</definedName>
    <definedName name="NIPLE_ACERO_6x3">#REF!</definedName>
    <definedName name="NIPLE_ACERO_6x3_10">#REF!</definedName>
    <definedName name="NIPLE_ACERO_6x3_11">#REF!</definedName>
    <definedName name="NIPLE_ACERO_6x3_6">#REF!</definedName>
    <definedName name="NIPLE_ACERO_6x3_7">#REF!</definedName>
    <definedName name="NIPLE_ACERO_6x3_8">#REF!</definedName>
    <definedName name="NIPLE_ACERO_6x3_9">#REF!</definedName>
    <definedName name="NIPLE_ACERO_8x3" localSheetId="1">#REF!</definedName>
    <definedName name="NIPLE_ACERO_8x3">#REF!</definedName>
    <definedName name="NIPLE_ACERO_8x3_10">#REF!</definedName>
    <definedName name="NIPLE_ACERO_8x3_11">#REF!</definedName>
    <definedName name="NIPLE_ACERO_8x3_6">#REF!</definedName>
    <definedName name="NIPLE_ACERO_8x3_7">#REF!</definedName>
    <definedName name="NIPLE_ACERO_8x3_8">#REF!</definedName>
    <definedName name="NIPLE_ACERO_8x3_9">#REF!</definedName>
    <definedName name="NIPLE_ACERO_PLATILLADO_12x12" localSheetId="1">#REF!</definedName>
    <definedName name="NIPLE_ACERO_PLATILLADO_12x12">#REF!</definedName>
    <definedName name="NIPLE_ACERO_PLATILLADO_12x12_10">#REF!</definedName>
    <definedName name="NIPLE_ACERO_PLATILLADO_12x12_11">#REF!</definedName>
    <definedName name="NIPLE_ACERO_PLATILLADO_12x12_6">#REF!</definedName>
    <definedName name="NIPLE_ACERO_PLATILLADO_12x12_7">#REF!</definedName>
    <definedName name="NIPLE_ACERO_PLATILLADO_12x12_8">#REF!</definedName>
    <definedName name="NIPLE_ACERO_PLATILLADO_12x12_9">#REF!</definedName>
    <definedName name="NIPLE_ACERO_PLATILLADO_2x1" localSheetId="1">#REF!</definedName>
    <definedName name="NIPLE_ACERO_PLATILLADO_2x1">#REF!</definedName>
    <definedName name="NIPLE_ACERO_PLATILLADO_2x1_10">#REF!</definedName>
    <definedName name="NIPLE_ACERO_PLATILLADO_2x1_11">#REF!</definedName>
    <definedName name="NIPLE_ACERO_PLATILLADO_2x1_6">#REF!</definedName>
    <definedName name="NIPLE_ACERO_PLATILLADO_2x1_7">#REF!</definedName>
    <definedName name="NIPLE_ACERO_PLATILLADO_2x1_8">#REF!</definedName>
    <definedName name="NIPLE_ACERO_PLATILLADO_2x1_9">#REF!</definedName>
    <definedName name="NIPLE_ACERO_PLATILLADO_3x1" localSheetId="1">#REF!</definedName>
    <definedName name="NIPLE_ACERO_PLATILLADO_3x1">#REF!</definedName>
    <definedName name="NIPLE_ACERO_PLATILLADO_3x1_10">#REF!</definedName>
    <definedName name="NIPLE_ACERO_PLATILLADO_3x1_11">#REF!</definedName>
    <definedName name="NIPLE_ACERO_PLATILLADO_3x1_6">#REF!</definedName>
    <definedName name="NIPLE_ACERO_PLATILLADO_3x1_7">#REF!</definedName>
    <definedName name="NIPLE_ACERO_PLATILLADO_3x1_8">#REF!</definedName>
    <definedName name="NIPLE_ACERO_PLATILLADO_3x1_9">#REF!</definedName>
    <definedName name="NIPLE_ACERO_PLATILLADO_8x1" localSheetId="1">#REF!</definedName>
    <definedName name="NIPLE_ACERO_PLATILLADO_8x1">#REF!</definedName>
    <definedName name="NIPLE_ACERO_PLATILLADO_8x1_10">#REF!</definedName>
    <definedName name="NIPLE_ACERO_PLATILLADO_8x1_11">#REF!</definedName>
    <definedName name="NIPLE_ACERO_PLATILLADO_8x1_6">#REF!</definedName>
    <definedName name="NIPLE_ACERO_PLATILLADO_8x1_7">#REF!</definedName>
    <definedName name="NIPLE_ACERO_PLATILLADO_8x1_8">#REF!</definedName>
    <definedName name="NIPLE_ACERO_PLATILLADO_8x1_9">#REF!</definedName>
    <definedName name="NIPLE_CROMO_38x2_12" localSheetId="1">#REF!</definedName>
    <definedName name="NIPLE_CROMO_38x2_12">#REF!</definedName>
    <definedName name="NIPLE_CROMO_38x2_12_10">#REF!</definedName>
    <definedName name="NIPLE_CROMO_38x2_12_11">#REF!</definedName>
    <definedName name="NIPLE_CROMO_38x2_12_6">#REF!</definedName>
    <definedName name="NIPLE_CROMO_38x2_12_7">#REF!</definedName>
    <definedName name="NIPLE_CROMO_38x2_12_8">#REF!</definedName>
    <definedName name="NIPLE_CROMO_38x2_12_9">#REF!</definedName>
    <definedName name="NIPLE_HG_12x4" localSheetId="1">#REF!</definedName>
    <definedName name="NIPLE_HG_12x4">#REF!</definedName>
    <definedName name="NIPLE_HG_12x4_10">#REF!</definedName>
    <definedName name="NIPLE_HG_12x4_11">#REF!</definedName>
    <definedName name="NIPLE_HG_12x4_6">#REF!</definedName>
    <definedName name="NIPLE_HG_12x4_7">#REF!</definedName>
    <definedName name="NIPLE_HG_12x4_8">#REF!</definedName>
    <definedName name="NIPLE_HG_12x4_9">#REF!</definedName>
    <definedName name="NIPLE_HG_34x4" localSheetId="1">#REF!</definedName>
    <definedName name="NIPLE_HG_34x4">#REF!</definedName>
    <definedName name="NIPLE_HG_34x4_10">#REF!</definedName>
    <definedName name="NIPLE_HG_34x4_11">#REF!</definedName>
    <definedName name="NIPLE_HG_34x4_6">#REF!</definedName>
    <definedName name="NIPLE_HG_34x4_7">#REF!</definedName>
    <definedName name="NIPLE_HG_34x4_8">#REF!</definedName>
    <definedName name="NIPLE_HG_34x4_9">#REF!</definedName>
    <definedName name="NUEVA">#REF!</definedName>
    <definedName name="num_linhas">#REF!</definedName>
    <definedName name="OPERADOR_GREADER" localSheetId="1">#REF!</definedName>
    <definedName name="OPERADOR_GREADER">#REF!</definedName>
    <definedName name="OPERADOR_GREADER_10">#REF!</definedName>
    <definedName name="OPERADOR_GREADER_11">#REF!</definedName>
    <definedName name="OPERADOR_GREADER_6">#REF!</definedName>
    <definedName name="OPERADOR_GREADER_7">#REF!</definedName>
    <definedName name="OPERADOR_GREADER_8">#REF!</definedName>
    <definedName name="OPERADOR_GREADER_9">#REF!</definedName>
    <definedName name="OPERADOR_PALA" localSheetId="1">#REF!</definedName>
    <definedName name="OPERADOR_PALA">#REF!</definedName>
    <definedName name="OPERADOR_PALA_10">#REF!</definedName>
    <definedName name="OPERADOR_PALA_11">#REF!</definedName>
    <definedName name="OPERADOR_PALA_6">#REF!</definedName>
    <definedName name="OPERADOR_PALA_7">#REF!</definedName>
    <definedName name="OPERADOR_PALA_8">#REF!</definedName>
    <definedName name="OPERADOR_PALA_9">#REF!</definedName>
    <definedName name="OPERADOR_TRACTOR" localSheetId="1">#REF!</definedName>
    <definedName name="OPERADOR_TRACTOR">#REF!</definedName>
    <definedName name="OPERADOR_TRACTOR_10">#REF!</definedName>
    <definedName name="OPERADOR_TRACTOR_11">#REF!</definedName>
    <definedName name="OPERADOR_TRACTOR_6">#REF!</definedName>
    <definedName name="OPERADOR_TRACTOR_7">#REF!</definedName>
    <definedName name="OPERADOR_TRACTOR_8">#REF!</definedName>
    <definedName name="OPERADOR_TRACTOR_9">#REF!</definedName>
    <definedName name="Operario_1ra" localSheetId="1">#REF!</definedName>
    <definedName name="Operario_1ra">#REF!</definedName>
    <definedName name="Operario_1ra_10">#REF!</definedName>
    <definedName name="Operario_1ra_11">#REF!</definedName>
    <definedName name="Operario_1ra_6">#REF!</definedName>
    <definedName name="Operario_1ra_7">#REF!</definedName>
    <definedName name="Operario_1ra_8">#REF!</definedName>
    <definedName name="Operario_1ra_9">#REF!</definedName>
    <definedName name="Operario_2da" localSheetId="1">#REF!</definedName>
    <definedName name="Operario_2da">#REF!</definedName>
    <definedName name="Operario_2da_10">#REF!</definedName>
    <definedName name="Operario_2da_11">#REF!</definedName>
    <definedName name="Operario_2da_6">#REF!</definedName>
    <definedName name="Operario_2da_7">#REF!</definedName>
    <definedName name="Operario_2da_8">#REF!</definedName>
    <definedName name="Operario_2da_9">#REF!</definedName>
    <definedName name="Operario_3ra" localSheetId="1">#REF!</definedName>
    <definedName name="Operario_3ra">#REF!</definedName>
    <definedName name="Operario_3ra_10">#REF!</definedName>
    <definedName name="Operario_3ra_11">#REF!</definedName>
    <definedName name="Operario_3ra_6">#REF!</definedName>
    <definedName name="Operario_3ra_7">#REF!</definedName>
    <definedName name="Operario_3ra_8">#REF!</definedName>
    <definedName name="Operario_3ra_9">#REF!</definedName>
    <definedName name="OPERARIOPRIMERA">[18]SALARIOS!$C$10</definedName>
    <definedName name="OXIGENO_CIL" localSheetId="1">#REF!</definedName>
    <definedName name="OXIGENO_CIL">#REF!</definedName>
    <definedName name="OXIGENO_CIL_10">#REF!</definedName>
    <definedName name="OXIGENO_CIL_11">#REF!</definedName>
    <definedName name="OXIGENO_CIL_6">#REF!</definedName>
    <definedName name="OXIGENO_CIL_7">#REF!</definedName>
    <definedName name="OXIGENO_CIL_8">#REF!</definedName>
    <definedName name="OXIGENO_CIL_9">#REF!</definedName>
    <definedName name="p" localSheetId="1">[22]peso!#REF!</definedName>
    <definedName name="p">[22]peso!#REF!</definedName>
    <definedName name="p_8">#REF!</definedName>
    <definedName name="P1XE" localSheetId="1">#REF!</definedName>
    <definedName name="P1XE">#REF!</definedName>
    <definedName name="P1XE_6">#REF!</definedName>
    <definedName name="P1XT" localSheetId="1">#REF!</definedName>
    <definedName name="P1XT">#REF!</definedName>
    <definedName name="P1XT_6">#REF!</definedName>
    <definedName name="P1YE" localSheetId="1">#REF!</definedName>
    <definedName name="P1YE">#REF!</definedName>
    <definedName name="P1YE_6">#REF!</definedName>
    <definedName name="P1YT" localSheetId="1">#REF!</definedName>
    <definedName name="P1YT">#REF!</definedName>
    <definedName name="P1YT_6">#REF!</definedName>
    <definedName name="P2XE" localSheetId="1">#REF!</definedName>
    <definedName name="P2XE">#REF!</definedName>
    <definedName name="P2XE_6">#REF!</definedName>
    <definedName name="P2XT" localSheetId="1">#REF!</definedName>
    <definedName name="P2XT">#REF!</definedName>
    <definedName name="P2XT_6">#REF!</definedName>
    <definedName name="P2YE" localSheetId="1">#REF!</definedName>
    <definedName name="P2YE">#REF!</definedName>
    <definedName name="P2YE_6">#REF!</definedName>
    <definedName name="P3XE" localSheetId="1">#REF!</definedName>
    <definedName name="P3XE">#REF!</definedName>
    <definedName name="P3XE_6">#REF!</definedName>
    <definedName name="P3XT" localSheetId="1">#REF!</definedName>
    <definedName name="P3XT">#REF!</definedName>
    <definedName name="P3XT_6">#REF!</definedName>
    <definedName name="P3YE" localSheetId="1">#REF!</definedName>
    <definedName name="P3YE">#REF!</definedName>
    <definedName name="P3YE_6">#REF!</definedName>
    <definedName name="P3YT" localSheetId="1">#REF!</definedName>
    <definedName name="P3YT">#REF!</definedName>
    <definedName name="P3YT_6">#REF!</definedName>
    <definedName name="P4XE" localSheetId="1">#REF!</definedName>
    <definedName name="P4XE">#REF!</definedName>
    <definedName name="P4XE_6">#REF!</definedName>
    <definedName name="P4XT" localSheetId="1">#REF!</definedName>
    <definedName name="P4XT">#REF!</definedName>
    <definedName name="P4XT_6">#REF!</definedName>
    <definedName name="P4YE" localSheetId="1">#REF!</definedName>
    <definedName name="P4YE">#REF!</definedName>
    <definedName name="P4YE_6">#REF!</definedName>
    <definedName name="P4YT" localSheetId="1">#REF!</definedName>
    <definedName name="P4YT">#REF!</definedName>
    <definedName name="P4YT_6">#REF!</definedName>
    <definedName name="P5XE" localSheetId="1">#REF!</definedName>
    <definedName name="P5XE">#REF!</definedName>
    <definedName name="P5XE_6">#REF!</definedName>
    <definedName name="P5YE" localSheetId="1">#REF!</definedName>
    <definedName name="P5YE">#REF!</definedName>
    <definedName name="P5YE_6">#REF!</definedName>
    <definedName name="P5YT" localSheetId="1">#REF!</definedName>
    <definedName name="P5YT">#REF!</definedName>
    <definedName name="P5YT_6">#REF!</definedName>
    <definedName name="P6XE" localSheetId="1">#REF!</definedName>
    <definedName name="P6XE">#REF!</definedName>
    <definedName name="P6XE_6">#REF!</definedName>
    <definedName name="P6XT" localSheetId="1">#REF!</definedName>
    <definedName name="P6XT">#REF!</definedName>
    <definedName name="P6XT_6">#REF!</definedName>
    <definedName name="P6YE" localSheetId="1">#REF!</definedName>
    <definedName name="P6YE">#REF!</definedName>
    <definedName name="P6YE_6">#REF!</definedName>
    <definedName name="P6YT" localSheetId="1">#REF!</definedName>
    <definedName name="P6YT">#REF!</definedName>
    <definedName name="P6YT_6">#REF!</definedName>
    <definedName name="P7XE" localSheetId="1">#REF!</definedName>
    <definedName name="P7XE">#REF!</definedName>
    <definedName name="P7XE_6">#REF!</definedName>
    <definedName name="P7YE" localSheetId="1">#REF!</definedName>
    <definedName name="P7YE">#REF!</definedName>
    <definedName name="P7YE_6">#REF!</definedName>
    <definedName name="P7YT" localSheetId="1">#REF!</definedName>
    <definedName name="P7YT">#REF!</definedName>
    <definedName name="P7YT_6">#REF!</definedName>
    <definedName name="PALA" localSheetId="1">#REF!</definedName>
    <definedName name="PALA">#REF!</definedName>
    <definedName name="PALA_10">#REF!</definedName>
    <definedName name="PALA_11">#REF!</definedName>
    <definedName name="PALA_6">#REF!</definedName>
    <definedName name="PALA_7">#REF!</definedName>
    <definedName name="PALA_8">#REF!</definedName>
    <definedName name="PALA_9">#REF!</definedName>
    <definedName name="PALA_950" localSheetId="1">#REF!</definedName>
    <definedName name="PALA_950">#REF!</definedName>
    <definedName name="PALA_950_10">#REF!</definedName>
    <definedName name="PALA_950_11">#REF!</definedName>
    <definedName name="PALA_950_6">#REF!</definedName>
    <definedName name="PALA_950_7">#REF!</definedName>
    <definedName name="PALA_950_8">#REF!</definedName>
    <definedName name="PALA_950_9">#REF!</definedName>
    <definedName name="PANEL_DIST_24C" localSheetId="1">#REF!</definedName>
    <definedName name="PANEL_DIST_24C">#REF!</definedName>
    <definedName name="PANEL_DIST_24C_10">#REF!</definedName>
    <definedName name="PANEL_DIST_24C_11">#REF!</definedName>
    <definedName name="PANEL_DIST_24C_6">#REF!</definedName>
    <definedName name="PANEL_DIST_24C_7">#REF!</definedName>
    <definedName name="PANEL_DIST_24C_8">#REF!</definedName>
    <definedName name="PANEL_DIST_24C_9">#REF!</definedName>
    <definedName name="PANEL_DIST_32C" localSheetId="1">#REF!</definedName>
    <definedName name="PANEL_DIST_32C">#REF!</definedName>
    <definedName name="PANEL_DIST_32C_10">#REF!</definedName>
    <definedName name="PANEL_DIST_32C_11">#REF!</definedName>
    <definedName name="PANEL_DIST_32C_6">#REF!</definedName>
    <definedName name="PANEL_DIST_32C_7">#REF!</definedName>
    <definedName name="PANEL_DIST_32C_8">#REF!</definedName>
    <definedName name="PANEL_DIST_32C_9">#REF!</definedName>
    <definedName name="PANEL_DIST_4a8C" localSheetId="1">#REF!</definedName>
    <definedName name="PANEL_DIST_4a8C">#REF!</definedName>
    <definedName name="PANEL_DIST_4a8C_10">#REF!</definedName>
    <definedName name="PANEL_DIST_4a8C_11">#REF!</definedName>
    <definedName name="PANEL_DIST_4a8C_6">#REF!</definedName>
    <definedName name="PANEL_DIST_4a8C_7">#REF!</definedName>
    <definedName name="PANEL_DIST_4a8C_8">#REF!</definedName>
    <definedName name="PANEL_DIST_4a8C_9">#REF!</definedName>
    <definedName name="PanelDist_6a12_Circ_125a" localSheetId="1">#REF!</definedName>
    <definedName name="PanelDist_6a12_Circ_125a">#REF!</definedName>
    <definedName name="PanelDist_6a12_Circ_125a_10">#REF!</definedName>
    <definedName name="PanelDist_6a12_Circ_125a_11">#REF!</definedName>
    <definedName name="PanelDist_6a12_Circ_125a_6">#REF!</definedName>
    <definedName name="PanelDist_6a12_Circ_125a_7">#REF!</definedName>
    <definedName name="PanelDist_6a12_Circ_125a_8">#REF!</definedName>
    <definedName name="PanelDist_6a12_Circ_125a_9">#REF!</definedName>
    <definedName name="PARARRAYOS_9KV" localSheetId="1">#REF!</definedName>
    <definedName name="PARARRAYOS_9KV">#REF!</definedName>
    <definedName name="PARARRAYOS_9KV_10">#REF!</definedName>
    <definedName name="PARARRAYOS_9KV_11">#REF!</definedName>
    <definedName name="PARARRAYOS_9KV_6">#REF!</definedName>
    <definedName name="PARARRAYOS_9KV_7">#REF!</definedName>
    <definedName name="PARARRAYOS_9KV_8">#REF!</definedName>
    <definedName name="PARARRAYOS_9KV_9">#REF!</definedName>
    <definedName name="Peon" localSheetId="1">#REF!</definedName>
    <definedName name="PEON">#REF!</definedName>
    <definedName name="Peon_1" localSheetId="1">#REF!</definedName>
    <definedName name="Peon_1">[6]MO!$B$11</definedName>
    <definedName name="Peon_1_10">#REF!</definedName>
    <definedName name="Peon_1_11">#REF!</definedName>
    <definedName name="Peon_1_5">#REF!</definedName>
    <definedName name="Peon_1_6">#REF!</definedName>
    <definedName name="Peon_1_7">#REF!</definedName>
    <definedName name="Peon_1_8">#REF!</definedName>
    <definedName name="Peon_1_9">#REF!</definedName>
    <definedName name="Peon_6">#REF!</definedName>
    <definedName name="Peon_Colchas">[14]MO!$B$11</definedName>
    <definedName name="PEONCARP" localSheetId="1">#REF!</definedName>
    <definedName name="PEONCARP">[7]INS!#REF!</definedName>
    <definedName name="PEONCARP_6">#REF!</definedName>
    <definedName name="PEONCARP_8">#REF!</definedName>
    <definedName name="PERFIL_CUADRADO_34">[14]INSU!$B$91</definedName>
    <definedName name="Pernos" localSheetId="1">#REF!</definedName>
    <definedName name="Pernos">#REF!</definedName>
    <definedName name="Pernos_6">#REF!</definedName>
    <definedName name="Pernos_8">#REF!</definedName>
    <definedName name="PICO" localSheetId="1">#REF!</definedName>
    <definedName name="PICO">#REF!</definedName>
    <definedName name="PICO_10">#REF!</definedName>
    <definedName name="PICO_11">#REF!</definedName>
    <definedName name="PICO_6">#REF!</definedName>
    <definedName name="PICO_7">#REF!</definedName>
    <definedName name="PICO_8">#REF!</definedName>
    <definedName name="PICO_9">#REF!</definedName>
    <definedName name="PIEDRA" localSheetId="1">#REF!</definedName>
    <definedName name="PIEDRA">#REF!</definedName>
    <definedName name="PIEDRA_10">#REF!</definedName>
    <definedName name="PIEDRA_11">#REF!</definedName>
    <definedName name="PIEDRA_6">#REF!</definedName>
    <definedName name="PIEDRA_7">#REF!</definedName>
    <definedName name="PIEDRA_8">#REF!</definedName>
    <definedName name="PIEDRA_9">#REF!</definedName>
    <definedName name="PIEDRA_GAVIONES" localSheetId="1">#REF!</definedName>
    <definedName name="PIEDRA_GAVIONES">#REF!</definedName>
    <definedName name="PIEDRA_GAVIONES_10">#REF!</definedName>
    <definedName name="PIEDRA_GAVIONES_11">#REF!</definedName>
    <definedName name="PIEDRA_GAVIONES_6">#REF!</definedName>
    <definedName name="PIEDRA_GAVIONES_7">#REF!</definedName>
    <definedName name="PIEDRA_GAVIONES_8">#REF!</definedName>
    <definedName name="PIEDRA_GAVIONES_9">#REF!</definedName>
    <definedName name="PINO">[18]INS!$D$770</definedName>
    <definedName name="PINTURA_ACR_COLOR_PREPARADO" localSheetId="1">#REF!</definedName>
    <definedName name="PINTURA_ACR_COLOR_PREPARADO">#REF!</definedName>
    <definedName name="PINTURA_ACR_COLOR_PREPARADO_10">#REF!</definedName>
    <definedName name="PINTURA_ACR_COLOR_PREPARADO_11">#REF!</definedName>
    <definedName name="PINTURA_ACR_COLOR_PREPARADO_6">#REF!</definedName>
    <definedName name="PINTURA_ACR_COLOR_PREPARADO_7">#REF!</definedName>
    <definedName name="PINTURA_ACR_COLOR_PREPARADO_8">#REF!</definedName>
    <definedName name="PINTURA_ACR_COLOR_PREPARADO_9">#REF!</definedName>
    <definedName name="PINTURA_ACR_EXT" localSheetId="1">#REF!</definedName>
    <definedName name="PINTURA_ACR_EXT">#REF!</definedName>
    <definedName name="PINTURA_ACR_EXT_10">#REF!</definedName>
    <definedName name="PINTURA_ACR_EXT_11">#REF!</definedName>
    <definedName name="PINTURA_ACR_EXT_6">#REF!</definedName>
    <definedName name="PINTURA_ACR_EXT_7">#REF!</definedName>
    <definedName name="PINTURA_ACR_EXT_8">#REF!</definedName>
    <definedName name="PINTURA_ACR_EXT_9">#REF!</definedName>
    <definedName name="PINTURA_ACR_INT" localSheetId="1">#REF!</definedName>
    <definedName name="PINTURA_ACR_INT">#REF!</definedName>
    <definedName name="PINTURA_ACR_INT_10">#REF!</definedName>
    <definedName name="PINTURA_ACR_INT_11">#REF!</definedName>
    <definedName name="PINTURA_ACR_INT_6">#REF!</definedName>
    <definedName name="PINTURA_ACR_INT_7">#REF!</definedName>
    <definedName name="PINTURA_ACR_INT_8">#REF!</definedName>
    <definedName name="PINTURA_ACR_INT_9">#REF!</definedName>
    <definedName name="PINTURA_BASE" localSheetId="1">#REF!</definedName>
    <definedName name="PINTURA_BASE">#REF!</definedName>
    <definedName name="PINTURA_BASE_10">#REF!</definedName>
    <definedName name="PINTURA_BASE_11">#REF!</definedName>
    <definedName name="PINTURA_BASE_6">#REF!</definedName>
    <definedName name="PINTURA_BASE_7">#REF!</definedName>
    <definedName name="PINTURA_BASE_8">#REF!</definedName>
    <definedName name="PINTURA_BASE_9">#REF!</definedName>
    <definedName name="PINTURA_MANTENIMIENTO" localSheetId="1">#REF!</definedName>
    <definedName name="PINTURA_MANTENIMIENTO">#REF!</definedName>
    <definedName name="PINTURA_MANTENIMIENTO_10">#REF!</definedName>
    <definedName name="PINTURA_MANTENIMIENTO_11">#REF!</definedName>
    <definedName name="PINTURA_MANTENIMIENTO_6">#REF!</definedName>
    <definedName name="PINTURA_MANTENIMIENTO_7">#REF!</definedName>
    <definedName name="PINTURA_MANTENIMIENTO_8">#REF!</definedName>
    <definedName name="PINTURA_MANTENIMIENTO_9">#REF!</definedName>
    <definedName name="PINTURA_OXIDO_ROJO" localSheetId="1">#REF!</definedName>
    <definedName name="PINTURA_OXIDO_ROJO">#REF!</definedName>
    <definedName name="PINTURA_OXIDO_ROJO_10">#REF!</definedName>
    <definedName name="PINTURA_OXIDO_ROJO_11">#REF!</definedName>
    <definedName name="PINTURA_OXIDO_ROJO_6">#REF!</definedName>
    <definedName name="PINTURA_OXIDO_ROJO_7">#REF!</definedName>
    <definedName name="PINTURA_OXIDO_ROJO_8">#REF!</definedName>
    <definedName name="PINTURA_OXIDO_ROJO_9">#REF!</definedName>
    <definedName name="PISO_GRANITO_FONDO_BCO">[14]INSU!$B$103</definedName>
    <definedName name="PLANTA_ELECTRICA" localSheetId="1">#REF!</definedName>
    <definedName name="PLANTA_ELECTRICA">#REF!</definedName>
    <definedName name="PLANTA_ELECTRICA_10">#REF!</definedName>
    <definedName name="PLANTA_ELECTRICA_11">#REF!</definedName>
    <definedName name="PLANTA_ELECTRICA_6">#REF!</definedName>
    <definedName name="PLANTA_ELECTRICA_7">#REF!</definedName>
    <definedName name="PLANTA_ELECTRICA_8">#REF!</definedName>
    <definedName name="PLANTA_ELECTRICA_9">#REF!</definedName>
    <definedName name="PLASTICO">[14]INSU!$B$90</definedName>
    <definedName name="PLIGADORA2" localSheetId="1">#REF!</definedName>
    <definedName name="PLIGADORA2">[7]INS!$D$563</definedName>
    <definedName name="PLIGADORA2_6">#REF!</definedName>
    <definedName name="PLOMERO" localSheetId="1">#REF!</definedName>
    <definedName name="PLOMERO">[7]INS!#REF!</definedName>
    <definedName name="PLOMERO_6">#REF!</definedName>
    <definedName name="PLOMERO_8">#REF!</definedName>
    <definedName name="PLOMERO_SOLDADOR" localSheetId="1">#REF!</definedName>
    <definedName name="PLOMERO_SOLDADOR">#REF!</definedName>
    <definedName name="PLOMERO_SOLDADOR_10">#REF!</definedName>
    <definedName name="PLOMERO_SOLDADOR_11">#REF!</definedName>
    <definedName name="PLOMERO_SOLDADOR_6">#REF!</definedName>
    <definedName name="PLOMERO_SOLDADOR_7">#REF!</definedName>
    <definedName name="PLOMERO_SOLDADOR_8">#REF!</definedName>
    <definedName name="PLOMERO_SOLDADOR_9">#REF!</definedName>
    <definedName name="PLOMEROAYUDANTE" localSheetId="1">#REF!</definedName>
    <definedName name="PLOMEROAYUDANTE">[7]INS!#REF!</definedName>
    <definedName name="PLOMEROAYUDANTE_6">#REF!</definedName>
    <definedName name="PLOMEROAYUDANTE_8">#REF!</definedName>
    <definedName name="PLOMEROOFICIAL" localSheetId="1">#REF!</definedName>
    <definedName name="PLOMEROOFICIAL">[7]INS!#REF!</definedName>
    <definedName name="PLOMEROOFICIAL_6">#REF!</definedName>
    <definedName name="PLOMEROOFICIAL_8">#REF!</definedName>
    <definedName name="PLYWOOD_34_2CARAS" localSheetId="1">#REF!</definedName>
    <definedName name="PLYWOOD_34_2CARAS">[6]INSU!$D$133</definedName>
    <definedName name="PLYWOOD_34_2CARAS_10">#REF!</definedName>
    <definedName name="PLYWOOD_34_2CARAS_11">#REF!</definedName>
    <definedName name="PLYWOOD_34_2CARAS_5">#REF!</definedName>
    <definedName name="PLYWOOD_34_2CARAS_6">#REF!</definedName>
    <definedName name="PLYWOOD_34_2CARAS_7">#REF!</definedName>
    <definedName name="PLYWOOD_34_2CARAS_8">#REF!</definedName>
    <definedName name="PLYWOOD_34_2CARAS_9">#REF!</definedName>
    <definedName name="pmadera2162" localSheetId="1">[16]precios!#REF!</definedName>
    <definedName name="pmadera2162">[16]precios!#REF!</definedName>
    <definedName name="pmadera2162_8">#REF!</definedName>
    <definedName name="po">[23]PRESUPUESTO!$O$9:$O$236</definedName>
    <definedName name="POSTE_HA_25_CUAD" localSheetId="1">#REF!</definedName>
    <definedName name="POSTE_HA_25_CUAD">#REF!</definedName>
    <definedName name="POSTE_HA_25_CUAD_10">#REF!</definedName>
    <definedName name="POSTE_HA_25_CUAD_11">#REF!</definedName>
    <definedName name="POSTE_HA_25_CUAD_6">#REF!</definedName>
    <definedName name="POSTE_HA_25_CUAD_7">#REF!</definedName>
    <definedName name="POSTE_HA_25_CUAD_8">#REF!</definedName>
    <definedName name="POSTE_HA_25_CUAD_9">#REF!</definedName>
    <definedName name="POSTE_HA_30_CUAD" localSheetId="1">#REF!</definedName>
    <definedName name="POSTE_HA_30_CUAD">#REF!</definedName>
    <definedName name="POSTE_HA_30_CUAD_10">#REF!</definedName>
    <definedName name="POSTE_HA_30_CUAD_11">#REF!</definedName>
    <definedName name="POSTE_HA_30_CUAD_6">#REF!</definedName>
    <definedName name="POSTE_HA_30_CUAD_7">#REF!</definedName>
    <definedName name="POSTE_HA_30_CUAD_8">#REF!</definedName>
    <definedName name="POSTE_HA_30_CUAD_9">#REF!</definedName>
    <definedName name="POSTE_HA_35_CUAD" localSheetId="1">#REF!</definedName>
    <definedName name="POSTE_HA_35_CUAD">#REF!</definedName>
    <definedName name="POSTE_HA_35_CUAD_10">#REF!</definedName>
    <definedName name="POSTE_HA_35_CUAD_11">#REF!</definedName>
    <definedName name="POSTE_HA_35_CUAD_6">#REF!</definedName>
    <definedName name="POSTE_HA_35_CUAD_7">#REF!</definedName>
    <definedName name="POSTE_HA_35_CUAD_8">#REF!</definedName>
    <definedName name="POSTE_HA_35_CUAD_9">#REF!</definedName>
    <definedName name="POSTE_HA_40_CUAD" localSheetId="1">#REF!</definedName>
    <definedName name="POSTE_HA_40_CUAD">#REF!</definedName>
    <definedName name="POSTE_HA_40_CUAD_10">#REF!</definedName>
    <definedName name="POSTE_HA_40_CUAD_11">#REF!</definedName>
    <definedName name="POSTE_HA_40_CUAD_6">#REF!</definedName>
    <definedName name="POSTE_HA_40_CUAD_7">#REF!</definedName>
    <definedName name="POSTE_HA_40_CUAD_8">#REF!</definedName>
    <definedName name="POSTE_HA_40_CUAD_9">#REF!</definedName>
    <definedName name="PREC._UNITARIO">#N/A</definedName>
    <definedName name="PREC._UNITARIO_6">NA()</definedName>
    <definedName name="precios">[24]Precios!$A$4:$F$1576</definedName>
    <definedName name="premodificado">#REF!</definedName>
    <definedName name="PRESUPUESTO">#N/A</definedName>
    <definedName name="PRESUPUESTO_6">NA()</definedName>
    <definedName name="PRESUPUESTRO23">#REF!</definedName>
    <definedName name="PUERTA_PANEL_PINO" localSheetId="1">#REF!</definedName>
    <definedName name="PUERTA_PANEL_PINO">#REF!</definedName>
    <definedName name="PUERTA_PANEL_PINO_10">#REF!</definedName>
    <definedName name="PUERTA_PANEL_PINO_11">#REF!</definedName>
    <definedName name="PUERTA_PANEL_PINO_6">#REF!</definedName>
    <definedName name="PUERTA_PANEL_PINO_7">#REF!</definedName>
    <definedName name="PUERTA_PANEL_PINO_8">#REF!</definedName>
    <definedName name="PUERTA_PANEL_PINO_9">#REF!</definedName>
    <definedName name="PUERTA_PLYWOOD" localSheetId="1">#REF!</definedName>
    <definedName name="PUERTA_PLYWOOD">#REF!</definedName>
    <definedName name="PUERTA_PLYWOOD_10">#REF!</definedName>
    <definedName name="PUERTA_PLYWOOD_11">#REF!</definedName>
    <definedName name="PUERTA_PLYWOOD_6">#REF!</definedName>
    <definedName name="PUERTA_PLYWOOD_7">#REF!</definedName>
    <definedName name="PUERTA_PLYWOOD_8">#REF!</definedName>
    <definedName name="PUERTA_PLYWOOD_9">#REF!</definedName>
    <definedName name="PULIDO_Y_BRILLADO_ESCALON" localSheetId="1">#REF!</definedName>
    <definedName name="PULIDO_Y_BRILLADO_ESCALON">#REF!</definedName>
    <definedName name="PULIDO_Y_BRILLADO_ESCALON_10">#REF!</definedName>
    <definedName name="PULIDO_Y_BRILLADO_ESCALON_11">#REF!</definedName>
    <definedName name="PULIDO_Y_BRILLADO_ESCALON_6">#REF!</definedName>
    <definedName name="PULIDO_Y_BRILLADO_ESCALON_7">#REF!</definedName>
    <definedName name="PULIDO_Y_BRILLADO_ESCALON_8">#REF!</definedName>
    <definedName name="PULIDO_Y_BRILLADO_ESCALON_9">#REF!</definedName>
    <definedName name="PULIDOyBRILLADO_TC" localSheetId="1">#REF!</definedName>
    <definedName name="PULIDOyBRILLADO_TC">#REF!</definedName>
    <definedName name="PULIDOyBRILLADO_TC_10">#REF!</definedName>
    <definedName name="PULIDOyBRILLADO_TC_11">#REF!</definedName>
    <definedName name="PULIDOyBRILLADO_TC_6">#REF!</definedName>
    <definedName name="PULIDOyBRILLADO_TC_7">#REF!</definedName>
    <definedName name="PULIDOyBRILLADO_TC_8">#REF!</definedName>
    <definedName name="PULIDOyBRILLADO_TC_9">#REF!</definedName>
    <definedName name="PWINCHE2000K" localSheetId="1">#REF!</definedName>
    <definedName name="PWINCHE2000K">[7]INS!$D$568</definedName>
    <definedName name="PWINCHE2000K_6">#REF!</definedName>
    <definedName name="Q" localSheetId="1">#REF!</definedName>
    <definedName name="Q">[2]CUB02!$W$1:$W$8</definedName>
    <definedName name="Q_10">#REF!</definedName>
    <definedName name="Q_11">#REF!</definedName>
    <definedName name="Q_5">#REF!</definedName>
    <definedName name="Q_6">#REF!</definedName>
    <definedName name="Q_7">#REF!</definedName>
    <definedName name="Q_8">#REF!</definedName>
    <definedName name="Q_9">#REF!</definedName>
    <definedName name="QQ">[25]INS!#REF!</definedName>
    <definedName name="QQQ">'[4]M.O.'!#REF!</definedName>
    <definedName name="QQQQ">#REF!</definedName>
    <definedName name="QQQQQ">#REF!</definedName>
    <definedName name="qw">[23]PRESUPUESTO!$M$10:$AH$731</definedName>
    <definedName name="qwe">[11]PRESUPUESTO!$D$133</definedName>
    <definedName name="qwe_6">#REF!</definedName>
    <definedName name="RASTRILLO" localSheetId="1">#REF!</definedName>
    <definedName name="RASTRILLO">#REF!</definedName>
    <definedName name="RASTRILLO_10">#REF!</definedName>
    <definedName name="RASTRILLO_11">#REF!</definedName>
    <definedName name="RASTRILLO_6">#REF!</definedName>
    <definedName name="RASTRILLO_7">#REF!</definedName>
    <definedName name="RASTRILLO_8">#REF!</definedName>
    <definedName name="RASTRILLO_9">#REF!</definedName>
    <definedName name="REAL">#REF!</definedName>
    <definedName name="REDUCCION_BUSHING_HG_12x38" localSheetId="1">#REF!</definedName>
    <definedName name="REDUCCION_BUSHING_HG_12x38">#REF!</definedName>
    <definedName name="REDUCCION_BUSHING_HG_12x38_10">#REF!</definedName>
    <definedName name="REDUCCION_BUSHING_HG_12x38_11">#REF!</definedName>
    <definedName name="REDUCCION_BUSHING_HG_12x38_6">#REF!</definedName>
    <definedName name="REDUCCION_BUSHING_HG_12x38_7">#REF!</definedName>
    <definedName name="REDUCCION_BUSHING_HG_12x38_8">#REF!</definedName>
    <definedName name="REDUCCION_BUSHING_HG_12x38_9">#REF!</definedName>
    <definedName name="REDUCCION_PVC_34a12" localSheetId="1">#REF!</definedName>
    <definedName name="REDUCCION_PVC_34a12">#REF!</definedName>
    <definedName name="REDUCCION_PVC_34a12_10">#REF!</definedName>
    <definedName name="REDUCCION_PVC_34a12_11">#REF!</definedName>
    <definedName name="REDUCCION_PVC_34a12_6">#REF!</definedName>
    <definedName name="REDUCCION_PVC_34a12_7">#REF!</definedName>
    <definedName name="REDUCCION_PVC_34a12_8">#REF!</definedName>
    <definedName name="REDUCCION_PVC_34a12_9">#REF!</definedName>
    <definedName name="REDUCCION_PVC_DREN_4x2" localSheetId="1">#REF!</definedName>
    <definedName name="REDUCCION_PVC_DREN_4x2">#REF!</definedName>
    <definedName name="REDUCCION_PVC_DREN_4x2_10">#REF!</definedName>
    <definedName name="REDUCCION_PVC_DREN_4x2_11">#REF!</definedName>
    <definedName name="REDUCCION_PVC_DREN_4x2_6">#REF!</definedName>
    <definedName name="REDUCCION_PVC_DREN_4x2_7">#REF!</definedName>
    <definedName name="REDUCCION_PVC_DREN_4x2_8">#REF!</definedName>
    <definedName name="REDUCCION_PVC_DREN_4x2_9">#REF!</definedName>
    <definedName name="REFERENCIA" localSheetId="1">[26]COF!$G$733</definedName>
    <definedName name="REFERENCIA">[27]COF!$G$733</definedName>
    <definedName name="REFERENCIA_10">#REF!</definedName>
    <definedName name="REFERENCIA_11">#REF!</definedName>
    <definedName name="REFERENCIA_6">#REF!</definedName>
    <definedName name="REFERENCIA_7">#REF!</definedName>
    <definedName name="REFERENCIA_8">#REF!</definedName>
    <definedName name="REFERENCIA_9">#REF!</definedName>
    <definedName name="REGISTRO_ELEC_6x6" localSheetId="1">#REF!</definedName>
    <definedName name="REGISTRO_ELEC_6x6">#REF!</definedName>
    <definedName name="REGISTRO_ELEC_6x6_10">#REF!</definedName>
    <definedName name="REGISTRO_ELEC_6x6_11">#REF!</definedName>
    <definedName name="REGISTRO_ELEC_6x6_6">#REF!</definedName>
    <definedName name="REGISTRO_ELEC_6x6_7">#REF!</definedName>
    <definedName name="REGISTRO_ELEC_6x6_8">#REF!</definedName>
    <definedName name="REGISTRO_ELEC_6x6_9">#REF!</definedName>
    <definedName name="REGLA_PAÑETE" localSheetId="1">#REF!</definedName>
    <definedName name="REGLA_PAÑETE">#REF!</definedName>
    <definedName name="REGLA_PAÑETE_10">#REF!</definedName>
    <definedName name="REGLA_PAÑETE_11">#REF!</definedName>
    <definedName name="REGLA_PAÑETE_6">#REF!</definedName>
    <definedName name="REGLA_PAÑETE_7">#REF!</definedName>
    <definedName name="REGLA_PAÑETE_8">#REF!</definedName>
    <definedName name="REGLA_PAÑETE_9">#REF!</definedName>
    <definedName name="REJILLA_PISO" localSheetId="1">#REF!</definedName>
    <definedName name="REJILLA_PISO">#REF!</definedName>
    <definedName name="REJILLA_PISO_10">#REF!</definedName>
    <definedName name="REJILLA_PISO_11">#REF!</definedName>
    <definedName name="REJILLA_PISO_6">#REF!</definedName>
    <definedName name="REJILLA_PISO_7">#REF!</definedName>
    <definedName name="REJILLA_PISO_8">#REF!</definedName>
    <definedName name="REJILLA_PISO_9">#REF!</definedName>
    <definedName name="REJILLAS_1x1" localSheetId="1">#REF!</definedName>
    <definedName name="REJILLAS_1x1">#REF!</definedName>
    <definedName name="REJILLAS_1x1_10">#REF!</definedName>
    <definedName name="REJILLAS_1x1_11">#REF!</definedName>
    <definedName name="REJILLAS_1x1_6">#REF!</definedName>
    <definedName name="REJILLAS_1x1_7">#REF!</definedName>
    <definedName name="REJILLAS_1x1_8">#REF!</definedName>
    <definedName name="REJILLAS_1x1_9">#REF!</definedName>
    <definedName name="REPORTE">#N/A</definedName>
    <definedName name="REPORTE_01">#N/A</definedName>
    <definedName name="REPORTE_01_6">NA()</definedName>
    <definedName name="REPORTE_02">#N/A</definedName>
    <definedName name="REPORTE_02_6">NA()</definedName>
    <definedName name="REPORTE_03">#N/A</definedName>
    <definedName name="REPORTE_03_6">NA()</definedName>
    <definedName name="REPORTE_04">#N/A</definedName>
    <definedName name="REPORTE_04_6">NA()</definedName>
    <definedName name="REPORTE_05">#N/A</definedName>
    <definedName name="REPORTE_05_6">NA()</definedName>
    <definedName name="REPORTE_06">#N/A</definedName>
    <definedName name="REPORTE_06_6">NA()</definedName>
    <definedName name="REPORTE_07">#N/A</definedName>
    <definedName name="REPORTE_07_6">NA()</definedName>
    <definedName name="REPORTE_08">#N/A</definedName>
    <definedName name="REPORTE_08_6">NA()</definedName>
    <definedName name="REPORTE_09">#N/A</definedName>
    <definedName name="REPORTE_09_6">NA()</definedName>
    <definedName name="REPORTE_6">NA()</definedName>
    <definedName name="RETRO_320" localSheetId="1">#REF!</definedName>
    <definedName name="RETRO_320">#REF!</definedName>
    <definedName name="RETRO_320_10">#REF!</definedName>
    <definedName name="RETRO_320_11">#REF!</definedName>
    <definedName name="RETRO_320_6">#REF!</definedName>
    <definedName name="RETRO_320_7">#REF!</definedName>
    <definedName name="RETRO_320_8">#REF!</definedName>
    <definedName name="RETRO_320_9">#REF!</definedName>
    <definedName name="REVESTIMIENTO_CERAMICA_20x20" localSheetId="1">#REF!</definedName>
    <definedName name="REVESTIMIENTO_CERAMICA_20x20">#REF!</definedName>
    <definedName name="REVESTIMIENTO_CERAMICA_20x20_10">#REF!</definedName>
    <definedName name="REVESTIMIENTO_CERAMICA_20x20_11">#REF!</definedName>
    <definedName name="REVESTIMIENTO_CERAMICA_20x20_6">#REF!</definedName>
    <definedName name="REVESTIMIENTO_CERAMICA_20x20_7">#REF!</definedName>
    <definedName name="REVESTIMIENTO_CERAMICA_20x20_8">#REF!</definedName>
    <definedName name="REVESTIMIENTO_CERAMICA_20x20_9">#REF!</definedName>
    <definedName name="RODILLO_CAT_815" localSheetId="1">#REF!</definedName>
    <definedName name="RODILLO_CAT_815">#REF!</definedName>
    <definedName name="RODILLO_CAT_815_10">#REF!</definedName>
    <definedName name="RODILLO_CAT_815_11">#REF!</definedName>
    <definedName name="RODILLO_CAT_815_6">#REF!</definedName>
    <definedName name="RODILLO_CAT_815_7">#REF!</definedName>
    <definedName name="RODILLO_CAT_815_8">#REF!</definedName>
    <definedName name="RODILLO_CAT_815_9">#REF!</definedName>
    <definedName name="ROSETA" localSheetId="1">#REF!</definedName>
    <definedName name="ROSETA">#REF!</definedName>
    <definedName name="ROSETA_10">#REF!</definedName>
    <definedName name="ROSETA_11">#REF!</definedName>
    <definedName name="ROSETA_6">#REF!</definedName>
    <definedName name="ROSETA_7">#REF!</definedName>
    <definedName name="ROSETA_8">#REF!</definedName>
    <definedName name="ROSETA_9">#REF!</definedName>
    <definedName name="SALARIO" localSheetId="1">#REF!</definedName>
    <definedName name="SALARIO">#REF!</definedName>
    <definedName name="SALIDA">#N/A</definedName>
    <definedName name="SALIDA_6">NA()</definedName>
    <definedName name="SDSDFSDFSDF" localSheetId="1">#N/A</definedName>
    <definedName name="SDSDFSDFSDF">#REF!</definedName>
    <definedName name="SDSDFSDFSDF_6">#REF!</definedName>
    <definedName name="SEGUETA" localSheetId="1">#REF!</definedName>
    <definedName name="SEGUETA">#REF!</definedName>
    <definedName name="SEGUETA_10">#REF!</definedName>
    <definedName name="SEGUETA_11">#REF!</definedName>
    <definedName name="SEGUETA_6">#REF!</definedName>
    <definedName name="SEGUETA_7">#REF!</definedName>
    <definedName name="SEGUETA_8">#REF!</definedName>
    <definedName name="SEGUETA_9">#REF!</definedName>
    <definedName name="SIERRA_ELECTRICA" localSheetId="1">#REF!</definedName>
    <definedName name="SIERRA_ELECTRICA">#REF!</definedName>
    <definedName name="SIERRA_ELECTRICA_10">#REF!</definedName>
    <definedName name="SIERRA_ELECTRICA_11">#REF!</definedName>
    <definedName name="SIERRA_ELECTRICA_6">#REF!</definedName>
    <definedName name="SIERRA_ELECTRICA_7">#REF!</definedName>
    <definedName name="SIERRA_ELECTRICA_8">#REF!</definedName>
    <definedName name="SIERRA_ELECTRICA_9">#REF!</definedName>
    <definedName name="SIFON_PVC_1_12" localSheetId="1">#REF!</definedName>
    <definedName name="SIFON_PVC_1_12">#REF!</definedName>
    <definedName name="SIFON_PVC_1_12_10">#REF!</definedName>
    <definedName name="SIFON_PVC_1_12_11">#REF!</definedName>
    <definedName name="SIFON_PVC_1_12_6">#REF!</definedName>
    <definedName name="SIFON_PVC_1_12_7">#REF!</definedName>
    <definedName name="SIFON_PVC_1_12_8">#REF!</definedName>
    <definedName name="SIFON_PVC_1_12_9">#REF!</definedName>
    <definedName name="SIFON_PVC_1_14" localSheetId="1">#REF!</definedName>
    <definedName name="SIFON_PVC_1_14">#REF!</definedName>
    <definedName name="SIFON_PVC_1_14_10">#REF!</definedName>
    <definedName name="SIFON_PVC_1_14_11">#REF!</definedName>
    <definedName name="SIFON_PVC_1_14_6">#REF!</definedName>
    <definedName name="SIFON_PVC_1_14_7">#REF!</definedName>
    <definedName name="SIFON_PVC_1_14_8">#REF!</definedName>
    <definedName name="SIFON_PVC_1_14_9">#REF!</definedName>
    <definedName name="SIFON_PVC_2" localSheetId="1">#REF!</definedName>
    <definedName name="SIFON_PVC_2">#REF!</definedName>
    <definedName name="SIFON_PVC_2_10">#REF!</definedName>
    <definedName name="SIFON_PVC_2_11">#REF!</definedName>
    <definedName name="SIFON_PVC_2_6">#REF!</definedName>
    <definedName name="SIFON_PVC_2_7">#REF!</definedName>
    <definedName name="SIFON_PVC_2_8">#REF!</definedName>
    <definedName name="SIFON_PVC_2_9">#REF!</definedName>
    <definedName name="SIFON_PVC_4" localSheetId="1">#REF!</definedName>
    <definedName name="SIFON_PVC_4">#REF!</definedName>
    <definedName name="SIFON_PVC_4_10">#REF!</definedName>
    <definedName name="SIFON_PVC_4_11">#REF!</definedName>
    <definedName name="SIFON_PVC_4_6">#REF!</definedName>
    <definedName name="SIFON_PVC_4_7">#REF!</definedName>
    <definedName name="SIFON_PVC_4_8">#REF!</definedName>
    <definedName name="SIFON_PVC_4_9">#REF!</definedName>
    <definedName name="SILICONE" localSheetId="1">#REF!</definedName>
    <definedName name="SILICONE">#REF!</definedName>
    <definedName name="SILICONE_10">#REF!</definedName>
    <definedName name="SILICONE_11">#REF!</definedName>
    <definedName name="SILICONE_6">#REF!</definedName>
    <definedName name="SILICONE_7">#REF!</definedName>
    <definedName name="SILICONE_8">#REF!</definedName>
    <definedName name="SILICONE_9">#REF!</definedName>
    <definedName name="SOLDADORA" localSheetId="1">#REF!</definedName>
    <definedName name="SOLDADORA">#REF!</definedName>
    <definedName name="SOLDADORA_10">#REF!</definedName>
    <definedName name="SOLDADORA_11">#REF!</definedName>
    <definedName name="SOLDADORA_6">#REF!</definedName>
    <definedName name="SOLDADORA_7">#REF!</definedName>
    <definedName name="SOLDADORA_8">#REF!</definedName>
    <definedName name="SOLDADORA_9">#REF!</definedName>
    <definedName name="spm">#REF!</definedName>
    <definedName name="SS">'[9]M.O.'!$C$12</definedName>
    <definedName name="SUB">[28]presupuesto!#REF!</definedName>
    <definedName name="SUB_TOTAL" localSheetId="1">#REF!</definedName>
    <definedName name="SUB_TOTAL">#REF!</definedName>
    <definedName name="SUB_TOTAL_10">#REF!</definedName>
    <definedName name="SUB_TOTAL_11">#REF!</definedName>
    <definedName name="SUB_TOTAL_6">#REF!</definedName>
    <definedName name="SUB_TOTAL_7">#REF!</definedName>
    <definedName name="SUB_TOTAL_8">#REF!</definedName>
    <definedName name="SUB_TOTAL_9">#REF!</definedName>
    <definedName name="TANQUE_55Gls" localSheetId="1">#REF!</definedName>
    <definedName name="TANQUE_55Gls">#REF!</definedName>
    <definedName name="TANQUE_55Gls_10">#REF!</definedName>
    <definedName name="TANQUE_55Gls_11">#REF!</definedName>
    <definedName name="TANQUE_55Gls_6">#REF!</definedName>
    <definedName name="TANQUE_55Gls_7">#REF!</definedName>
    <definedName name="TANQUE_55Gls_8">#REF!</definedName>
    <definedName name="TANQUE_55Gls_9">#REF!</definedName>
    <definedName name="TAPA_ALUMINIO_1x1" localSheetId="1">#REF!</definedName>
    <definedName name="TAPA_ALUMINIO_1x1">#REF!</definedName>
    <definedName name="TAPA_ALUMINIO_1x1_10">#REF!</definedName>
    <definedName name="TAPA_ALUMINIO_1x1_11">#REF!</definedName>
    <definedName name="TAPA_ALUMINIO_1x1_6">#REF!</definedName>
    <definedName name="TAPA_ALUMINIO_1x1_7">#REF!</definedName>
    <definedName name="TAPA_ALUMINIO_1x1_8">#REF!</definedName>
    <definedName name="TAPA_ALUMINIO_1x1_9">#REF!</definedName>
    <definedName name="TAPA_REGISTRO_HF" localSheetId="1">#REF!</definedName>
    <definedName name="TAPA_REGISTRO_HF">#REF!</definedName>
    <definedName name="TAPA_REGISTRO_HF_10">#REF!</definedName>
    <definedName name="TAPA_REGISTRO_HF_11">#REF!</definedName>
    <definedName name="TAPA_REGISTRO_HF_6">#REF!</definedName>
    <definedName name="TAPA_REGISTRO_HF_7">#REF!</definedName>
    <definedName name="TAPA_REGISTRO_HF_8">#REF!</definedName>
    <definedName name="TAPA_REGISTRO_HF_9">#REF!</definedName>
    <definedName name="TAPA_REGISTRO_HF_LIVIANA" localSheetId="1">#REF!</definedName>
    <definedName name="TAPA_REGISTRO_HF_LIVIANA">#REF!</definedName>
    <definedName name="TAPA_REGISTRO_HF_LIVIANA_10">#REF!</definedName>
    <definedName name="TAPA_REGISTRO_HF_LIVIANA_11">#REF!</definedName>
    <definedName name="TAPA_REGISTRO_HF_LIVIANA_6">#REF!</definedName>
    <definedName name="TAPA_REGISTRO_HF_LIVIANA_7">#REF!</definedName>
    <definedName name="TAPA_REGISTRO_HF_LIVIANA_8">#REF!</definedName>
    <definedName name="TAPA_REGISTRO_HF_LIVIANA_9">#REF!</definedName>
    <definedName name="TAPE_3M" localSheetId="1">#REF!</definedName>
    <definedName name="TAPE_3M">#REF!</definedName>
    <definedName name="TAPE_3M_10">#REF!</definedName>
    <definedName name="TAPE_3M_11">#REF!</definedName>
    <definedName name="TAPE_3M_6">#REF!</definedName>
    <definedName name="TAPE_3M_7">#REF!</definedName>
    <definedName name="TAPE_3M_8">#REF!</definedName>
    <definedName name="TAPE_3M_9">#REF!</definedName>
    <definedName name="TC" localSheetId="1">#REF!</definedName>
    <definedName name="TC">#REF!</definedName>
    <definedName name="TEE_ACERO_12x8" localSheetId="1">#REF!</definedName>
    <definedName name="TEE_ACERO_12x8">#REF!</definedName>
    <definedName name="TEE_ACERO_12x8_10">#REF!</definedName>
    <definedName name="TEE_ACERO_12x8_11">#REF!</definedName>
    <definedName name="TEE_ACERO_12x8_6">#REF!</definedName>
    <definedName name="TEE_ACERO_12x8_7">#REF!</definedName>
    <definedName name="TEE_ACERO_12x8_8">#REF!</definedName>
    <definedName name="TEE_ACERO_12x8_9">#REF!</definedName>
    <definedName name="TEE_ACERO_16x12" localSheetId="1">#REF!</definedName>
    <definedName name="TEE_ACERO_16x12">#REF!</definedName>
    <definedName name="TEE_ACERO_16x12_10">#REF!</definedName>
    <definedName name="TEE_ACERO_16x12_11">#REF!</definedName>
    <definedName name="TEE_ACERO_16x12_6">#REF!</definedName>
    <definedName name="TEE_ACERO_16x12_7">#REF!</definedName>
    <definedName name="TEE_ACERO_16x12_8">#REF!</definedName>
    <definedName name="TEE_ACERO_16x12_9">#REF!</definedName>
    <definedName name="TEE_ACERO_16x16" localSheetId="1">#REF!</definedName>
    <definedName name="TEE_ACERO_16x16">#REF!</definedName>
    <definedName name="TEE_ACERO_16x16_10">#REF!</definedName>
    <definedName name="TEE_ACERO_16x16_11">#REF!</definedName>
    <definedName name="TEE_ACERO_16x16_6">#REF!</definedName>
    <definedName name="TEE_ACERO_16x16_7">#REF!</definedName>
    <definedName name="TEE_ACERO_16x16_8">#REF!</definedName>
    <definedName name="TEE_ACERO_16x16_9">#REF!</definedName>
    <definedName name="TEE_ACERO_16x6" localSheetId="1">#REF!</definedName>
    <definedName name="TEE_ACERO_16x6">#REF!</definedName>
    <definedName name="TEE_ACERO_16x6_10">#REF!</definedName>
    <definedName name="TEE_ACERO_16x6_11">#REF!</definedName>
    <definedName name="TEE_ACERO_16x6_6">#REF!</definedName>
    <definedName name="TEE_ACERO_16x6_7">#REF!</definedName>
    <definedName name="TEE_ACERO_16x6_8">#REF!</definedName>
    <definedName name="TEE_ACERO_16x6_9">#REF!</definedName>
    <definedName name="TEE_ACERO_16x8" localSheetId="1">#REF!</definedName>
    <definedName name="TEE_ACERO_16x8">#REF!</definedName>
    <definedName name="TEE_ACERO_16x8_10">#REF!</definedName>
    <definedName name="TEE_ACERO_16x8_11">#REF!</definedName>
    <definedName name="TEE_ACERO_16x8_6">#REF!</definedName>
    <definedName name="TEE_ACERO_16x8_7">#REF!</definedName>
    <definedName name="TEE_ACERO_16x8_8">#REF!</definedName>
    <definedName name="TEE_ACERO_16x8_9">#REF!</definedName>
    <definedName name="TEE_ACERO_20x16" localSheetId="1">#REF!</definedName>
    <definedName name="TEE_ACERO_20x16">#REF!</definedName>
    <definedName name="TEE_ACERO_20x16_10">#REF!</definedName>
    <definedName name="TEE_ACERO_20x16_11">#REF!</definedName>
    <definedName name="TEE_ACERO_20x16_6">#REF!</definedName>
    <definedName name="TEE_ACERO_20x16_7">#REF!</definedName>
    <definedName name="TEE_ACERO_20x16_8">#REF!</definedName>
    <definedName name="TEE_ACERO_20x16_9">#REF!</definedName>
    <definedName name="TEE_CPVC_12" localSheetId="1">#REF!</definedName>
    <definedName name="TEE_CPVC_12">#REF!</definedName>
    <definedName name="TEE_CPVC_12_10">#REF!</definedName>
    <definedName name="TEE_CPVC_12_11">#REF!</definedName>
    <definedName name="TEE_CPVC_12_6">#REF!</definedName>
    <definedName name="TEE_CPVC_12_7">#REF!</definedName>
    <definedName name="TEE_CPVC_12_8">#REF!</definedName>
    <definedName name="TEE_CPVC_12_9">#REF!</definedName>
    <definedName name="TEE_HG_1" localSheetId="1">#REF!</definedName>
    <definedName name="TEE_HG_1">#REF!</definedName>
    <definedName name="TEE_HG_1_10">#REF!</definedName>
    <definedName name="TEE_HG_1_11">#REF!</definedName>
    <definedName name="TEE_HG_1_12" localSheetId="1">#REF!</definedName>
    <definedName name="TEE_HG_1_12">#REF!</definedName>
    <definedName name="TEE_HG_1_12_10">#REF!</definedName>
    <definedName name="TEE_HG_1_12_11">#REF!</definedName>
    <definedName name="TEE_HG_1_12_6">#REF!</definedName>
    <definedName name="TEE_HG_1_12_7">#REF!</definedName>
    <definedName name="TEE_HG_1_12_8">#REF!</definedName>
    <definedName name="TEE_HG_1_12_9">#REF!</definedName>
    <definedName name="TEE_HG_1_6">#REF!</definedName>
    <definedName name="TEE_HG_1_7">#REF!</definedName>
    <definedName name="TEE_HG_1_8">#REF!</definedName>
    <definedName name="TEE_HG_1_9">#REF!</definedName>
    <definedName name="TEE_HG_12" localSheetId="1">#REF!</definedName>
    <definedName name="TEE_HG_12">#REF!</definedName>
    <definedName name="TEE_HG_12_10">#REF!</definedName>
    <definedName name="TEE_HG_12_11">#REF!</definedName>
    <definedName name="TEE_HG_12_6">#REF!</definedName>
    <definedName name="TEE_HG_12_7">#REF!</definedName>
    <definedName name="TEE_HG_12_8">#REF!</definedName>
    <definedName name="TEE_HG_12_9">#REF!</definedName>
    <definedName name="TEE_HG_34" localSheetId="1">#REF!</definedName>
    <definedName name="TEE_HG_34">#REF!</definedName>
    <definedName name="TEE_HG_34_10">#REF!</definedName>
    <definedName name="TEE_HG_34_11">#REF!</definedName>
    <definedName name="TEE_HG_34_6">#REF!</definedName>
    <definedName name="TEE_HG_34_7">#REF!</definedName>
    <definedName name="TEE_HG_34_8">#REF!</definedName>
    <definedName name="TEE_HG_34_9">#REF!</definedName>
    <definedName name="TEE_PVC_PRES_1" localSheetId="1">#REF!</definedName>
    <definedName name="TEE_PVC_PRES_1">#REF!</definedName>
    <definedName name="TEE_PVC_PRES_1_10">#REF!</definedName>
    <definedName name="TEE_PVC_PRES_1_11">#REF!</definedName>
    <definedName name="TEE_PVC_PRES_1_6">#REF!</definedName>
    <definedName name="TEE_PVC_PRES_1_7">#REF!</definedName>
    <definedName name="TEE_PVC_PRES_1_8">#REF!</definedName>
    <definedName name="TEE_PVC_PRES_1_9">#REF!</definedName>
    <definedName name="TEE_PVC_PRES_12" localSheetId="1">#REF!</definedName>
    <definedName name="TEE_PVC_PRES_12">#REF!</definedName>
    <definedName name="TEE_PVC_PRES_12_10">#REF!</definedName>
    <definedName name="TEE_PVC_PRES_12_11">#REF!</definedName>
    <definedName name="TEE_PVC_PRES_12_6">#REF!</definedName>
    <definedName name="TEE_PVC_PRES_12_7">#REF!</definedName>
    <definedName name="TEE_PVC_PRES_12_8">#REF!</definedName>
    <definedName name="TEE_PVC_PRES_12_9">#REF!</definedName>
    <definedName name="TEE_PVC_PRES_34" localSheetId="1">#REF!</definedName>
    <definedName name="TEE_PVC_PRES_34">#REF!</definedName>
    <definedName name="TEE_PVC_PRES_34_10">#REF!</definedName>
    <definedName name="TEE_PVC_PRES_34_11">#REF!</definedName>
    <definedName name="TEE_PVC_PRES_34_6">#REF!</definedName>
    <definedName name="TEE_PVC_PRES_34_7">#REF!</definedName>
    <definedName name="TEE_PVC_PRES_34_8">#REF!</definedName>
    <definedName name="TEE_PVC_PRES_34_9">#REF!</definedName>
    <definedName name="TEFLON" localSheetId="1">#REF!</definedName>
    <definedName name="TEFLON">#REF!</definedName>
    <definedName name="TEFLON_10">#REF!</definedName>
    <definedName name="TEFLON_11">#REF!</definedName>
    <definedName name="TEFLON_6">#REF!</definedName>
    <definedName name="TEFLON_7">#REF!</definedName>
    <definedName name="TEFLON_8">#REF!</definedName>
    <definedName name="TEFLON_9">#REF!</definedName>
    <definedName name="THINNER" localSheetId="1">#REF!</definedName>
    <definedName name="THINNER">#REF!</definedName>
    <definedName name="THINNER_10">#REF!</definedName>
    <definedName name="THINNER_11">#REF!</definedName>
    <definedName name="THINNER_6">#REF!</definedName>
    <definedName name="THINNER_7">#REF!</definedName>
    <definedName name="THINNER_8">#REF!</definedName>
    <definedName name="THINNER_9">#REF!</definedName>
    <definedName name="_xlnm.Print_Titles" localSheetId="1">'ANALISIS '!$1:$10</definedName>
    <definedName name="_xlnm.Print_Titles" localSheetId="0">'LISTA DE PARTIDAS'!$A:$F,'LISTA DE PARTIDAS'!$1:$10</definedName>
    <definedName name="_xlnm.Print_Titles">#N/A</definedName>
    <definedName name="TNC">#REF!</definedName>
    <definedName name="Tolas" localSheetId="1">#REF!</definedName>
    <definedName name="Tolas">#REF!</definedName>
    <definedName name="Tolas_8">#REF!</definedName>
    <definedName name="TOMACORRIENTE_110V" localSheetId="1">#REF!</definedName>
    <definedName name="TOMACORRIENTE_110V">#REF!</definedName>
    <definedName name="TOMACORRIENTE_110V_10">#REF!</definedName>
    <definedName name="TOMACORRIENTE_110V_11">#REF!</definedName>
    <definedName name="TOMACORRIENTE_110V_6">#REF!</definedName>
    <definedName name="TOMACORRIENTE_110V_7">#REF!</definedName>
    <definedName name="TOMACORRIENTE_110V_8">#REF!</definedName>
    <definedName name="TOMACORRIENTE_110V_9">#REF!</definedName>
    <definedName name="TOMACORRIENTE_220V_SENC" localSheetId="1">#REF!</definedName>
    <definedName name="TOMACORRIENTE_220V_SENC">#REF!</definedName>
    <definedName name="TOMACORRIENTE_220V_SENC_10">#REF!</definedName>
    <definedName name="TOMACORRIENTE_220V_SENC_11">#REF!</definedName>
    <definedName name="TOMACORRIENTE_220V_SENC_6">#REF!</definedName>
    <definedName name="TOMACORRIENTE_220V_SENC_7">#REF!</definedName>
    <definedName name="TOMACORRIENTE_220V_SENC_8">#REF!</definedName>
    <definedName name="TOMACORRIENTE_220V_SENC_9">#REF!</definedName>
    <definedName name="TOMACORRIENTE_30a" localSheetId="1">#REF!</definedName>
    <definedName name="TOMACORRIENTE_30a">#REF!</definedName>
    <definedName name="TOMACORRIENTE_30a_10">#REF!</definedName>
    <definedName name="TOMACORRIENTE_30a_11">#REF!</definedName>
    <definedName name="TOMACORRIENTE_30a_6">#REF!</definedName>
    <definedName name="TOMACORRIENTE_30a_7">#REF!</definedName>
    <definedName name="TOMACORRIENTE_30a_8">#REF!</definedName>
    <definedName name="TOMACORRIENTE_30a_9">#REF!</definedName>
    <definedName name="Topografo" localSheetId="1">#REF!</definedName>
    <definedName name="Topografo">#REF!</definedName>
    <definedName name="Topografo_10">#REF!</definedName>
    <definedName name="Topografo_11">#REF!</definedName>
    <definedName name="Topografo_6">#REF!</definedName>
    <definedName name="Topografo_7">#REF!</definedName>
    <definedName name="Topografo_8">#REF!</definedName>
    <definedName name="Topografo_9">#REF!</definedName>
    <definedName name="TORNILLOS" localSheetId="1">#REF!</definedName>
    <definedName name="TORNILLOS">#REF!</definedName>
    <definedName name="TORNILLOS_8">#REF!</definedName>
    <definedName name="TORNILLOS_INODORO" localSheetId="1">#REF!</definedName>
    <definedName name="TORNILLOS_INODORO">#REF!</definedName>
    <definedName name="TORNILLOS_INODORO_10">#REF!</definedName>
    <definedName name="TORNILLOS_INODORO_11">#REF!</definedName>
    <definedName name="TORNILLOS_INODORO_6">#REF!</definedName>
    <definedName name="TORNILLOS_INODORO_7">#REF!</definedName>
    <definedName name="TORNILLOS_INODORO_8">#REF!</definedName>
    <definedName name="TORNILLOS_INODORO_9">#REF!</definedName>
    <definedName name="TRACTOR_D8K" localSheetId="1">#REF!</definedName>
    <definedName name="TRACTOR_D8K">#REF!</definedName>
    <definedName name="TRACTOR_D8K_10">#REF!</definedName>
    <definedName name="TRACTOR_D8K_11">#REF!</definedName>
    <definedName name="TRACTOR_D8K_6">#REF!</definedName>
    <definedName name="TRACTOR_D8K_7">#REF!</definedName>
    <definedName name="TRACTOR_D8K_8">#REF!</definedName>
    <definedName name="TRACTOR_D8K_9">#REF!</definedName>
    <definedName name="TRANSFER_MANUAL_150_3AMPS" localSheetId="1">#REF!</definedName>
    <definedName name="TRANSFER_MANUAL_150_3AMPS">#REF!</definedName>
    <definedName name="TRANSFER_MANUAL_150_3AMPS_10">#REF!</definedName>
    <definedName name="TRANSFER_MANUAL_150_3AMPS_11">#REF!</definedName>
    <definedName name="TRANSFER_MANUAL_150_3AMPS_6">#REF!</definedName>
    <definedName name="TRANSFER_MANUAL_150_3AMPS_7">#REF!</definedName>
    <definedName name="TRANSFER_MANUAL_150_3AMPS_8">#REF!</definedName>
    <definedName name="TRANSFER_MANUAL_150_3AMPS_9">#REF!</definedName>
    <definedName name="TRANSFER_MANUAL_800_3AMPS" localSheetId="1">#REF!</definedName>
    <definedName name="TRANSFER_MANUAL_800_3AMPS">#REF!</definedName>
    <definedName name="TRANSFER_MANUAL_800_3AMPS_10">#REF!</definedName>
    <definedName name="TRANSFER_MANUAL_800_3AMPS_11">#REF!</definedName>
    <definedName name="TRANSFER_MANUAL_800_3AMPS_6">#REF!</definedName>
    <definedName name="TRANSFER_MANUAL_800_3AMPS_7">#REF!</definedName>
    <definedName name="TRANSFER_MANUAL_800_3AMPS_8">#REF!</definedName>
    <definedName name="TRANSFER_MANUAL_800_3AMPS_9">#REF!</definedName>
    <definedName name="TRANSFORMADOR_100KVA_240_480_POSTE" localSheetId="1">#REF!</definedName>
    <definedName name="TRANSFORMADOR_100KVA_240_480_POSTE">#REF!</definedName>
    <definedName name="TRANSFORMADOR_100KVA_240_480_POSTE_10">#REF!</definedName>
    <definedName name="TRANSFORMADOR_100KVA_240_480_POSTE_11">#REF!</definedName>
    <definedName name="TRANSFORMADOR_100KVA_240_480_POSTE_6">#REF!</definedName>
    <definedName name="TRANSFORMADOR_100KVA_240_480_POSTE_7">#REF!</definedName>
    <definedName name="TRANSFORMADOR_100KVA_240_480_POSTE_8">#REF!</definedName>
    <definedName name="TRANSFORMADOR_100KVA_240_480_POSTE_9">#REF!</definedName>
    <definedName name="TRANSFORMADOR_15KVA_120_240_POSTE" localSheetId="1">#REF!</definedName>
    <definedName name="TRANSFORMADOR_15KVA_120_240_POSTE">#REF!</definedName>
    <definedName name="TRANSFORMADOR_15KVA_120_240_POSTE_10">#REF!</definedName>
    <definedName name="TRANSFORMADOR_15KVA_120_240_POSTE_11">#REF!</definedName>
    <definedName name="TRANSFORMADOR_15KVA_120_240_POSTE_6">#REF!</definedName>
    <definedName name="TRANSFORMADOR_15KVA_120_240_POSTE_7">#REF!</definedName>
    <definedName name="TRANSFORMADOR_15KVA_120_240_POSTE_8">#REF!</definedName>
    <definedName name="TRANSFORMADOR_15KVA_120_240_POSTE_9">#REF!</definedName>
    <definedName name="TRANSFORMADOR_25KVA_240_480_POSTE" localSheetId="1">#REF!</definedName>
    <definedName name="TRANSFORMADOR_25KVA_240_480_POSTE">#REF!</definedName>
    <definedName name="TRANSFORMADOR_25KVA_240_480_POSTE_10">#REF!</definedName>
    <definedName name="TRANSFORMADOR_25KVA_240_480_POSTE_11">#REF!</definedName>
    <definedName name="TRANSFORMADOR_25KVA_240_480_POSTE_6">#REF!</definedName>
    <definedName name="TRANSFORMADOR_25KVA_240_480_POSTE_7">#REF!</definedName>
    <definedName name="TRANSFORMADOR_25KVA_240_480_POSTE_8">#REF!</definedName>
    <definedName name="TRANSFORMADOR_25KVA_240_480_POSTE_9">#REF!</definedName>
    <definedName name="Trompo" localSheetId="1">#REF!</definedName>
    <definedName name="Trompo">#REF!</definedName>
    <definedName name="Trompo_10">#REF!</definedName>
    <definedName name="Trompo_11">#REF!</definedName>
    <definedName name="Trompo_6">#REF!</definedName>
    <definedName name="Trompo_7">#REF!</definedName>
    <definedName name="Trompo_8">#REF!</definedName>
    <definedName name="Trompo_9">#REF!</definedName>
    <definedName name="TUBO_ACERO_16" localSheetId="1">#REF!</definedName>
    <definedName name="TUBO_ACERO_16">#REF!</definedName>
    <definedName name="TUBO_ACERO_16_10">#REF!</definedName>
    <definedName name="TUBO_ACERO_16_11">#REF!</definedName>
    <definedName name="TUBO_ACERO_16_6">#REF!</definedName>
    <definedName name="TUBO_ACERO_16_7">#REF!</definedName>
    <definedName name="TUBO_ACERO_16_8">#REF!</definedName>
    <definedName name="TUBO_ACERO_16_9">#REF!</definedName>
    <definedName name="TUBO_ACERO_20" localSheetId="1">#REF!</definedName>
    <definedName name="TUBO_ACERO_20">#REF!</definedName>
    <definedName name="TUBO_ACERO_20_10">#REF!</definedName>
    <definedName name="TUBO_ACERO_20_11">#REF!</definedName>
    <definedName name="TUBO_ACERO_20_6">#REF!</definedName>
    <definedName name="TUBO_ACERO_20_7">#REF!</definedName>
    <definedName name="TUBO_ACERO_20_8">#REF!</definedName>
    <definedName name="TUBO_ACERO_20_9">#REF!</definedName>
    <definedName name="TUBO_ACERO_20_e14" localSheetId="1">#REF!</definedName>
    <definedName name="TUBO_ACERO_20_e14">#REF!</definedName>
    <definedName name="TUBO_ACERO_20_e14_10">#REF!</definedName>
    <definedName name="TUBO_ACERO_20_e14_11">#REF!</definedName>
    <definedName name="TUBO_ACERO_20_e14_6">#REF!</definedName>
    <definedName name="TUBO_ACERO_20_e14_7">#REF!</definedName>
    <definedName name="TUBO_ACERO_20_e14_8">#REF!</definedName>
    <definedName name="TUBO_ACERO_20_e14_9">#REF!</definedName>
    <definedName name="TUBO_ACERO_3" localSheetId="1">#REF!</definedName>
    <definedName name="TUBO_ACERO_3">#REF!</definedName>
    <definedName name="TUBO_ACERO_3_10">#REF!</definedName>
    <definedName name="TUBO_ACERO_3_11">#REF!</definedName>
    <definedName name="TUBO_ACERO_3_6">#REF!</definedName>
    <definedName name="TUBO_ACERO_3_7">#REF!</definedName>
    <definedName name="TUBO_ACERO_3_8">#REF!</definedName>
    <definedName name="TUBO_ACERO_3_9">#REF!</definedName>
    <definedName name="TUBO_ACERO_4" localSheetId="1">#REF!</definedName>
    <definedName name="TUBO_ACERO_4">#REF!</definedName>
    <definedName name="TUBO_ACERO_4_10">#REF!</definedName>
    <definedName name="TUBO_ACERO_4_11">#REF!</definedName>
    <definedName name="TUBO_ACERO_4_6">#REF!</definedName>
    <definedName name="TUBO_ACERO_4_7">#REF!</definedName>
    <definedName name="TUBO_ACERO_4_8">#REF!</definedName>
    <definedName name="TUBO_ACERO_4_9">#REF!</definedName>
    <definedName name="TUBO_ACERO_6" localSheetId="1">#REF!</definedName>
    <definedName name="TUBO_ACERO_6">#REF!</definedName>
    <definedName name="TUBO_ACERO_6_10">#REF!</definedName>
    <definedName name="TUBO_ACERO_6_11">#REF!</definedName>
    <definedName name="TUBO_ACERO_6_6">#REF!</definedName>
    <definedName name="TUBO_ACERO_6_7">#REF!</definedName>
    <definedName name="TUBO_ACERO_6_8">#REF!</definedName>
    <definedName name="TUBO_ACERO_6_9">#REF!</definedName>
    <definedName name="TUBO_ACERO_8" localSheetId="1">#REF!</definedName>
    <definedName name="TUBO_ACERO_8">#REF!</definedName>
    <definedName name="TUBO_ACERO_8_10">#REF!</definedName>
    <definedName name="TUBO_ACERO_8_11">#REF!</definedName>
    <definedName name="TUBO_ACERO_8_6">#REF!</definedName>
    <definedName name="TUBO_ACERO_8_7">#REF!</definedName>
    <definedName name="TUBO_ACERO_8_8">#REF!</definedName>
    <definedName name="TUBO_ACERO_8_9">#REF!</definedName>
    <definedName name="TUBO_CPVC_12" localSheetId="1">#REF!</definedName>
    <definedName name="TUBO_CPVC_12">#REF!</definedName>
    <definedName name="TUBO_CPVC_12_10">#REF!</definedName>
    <definedName name="TUBO_CPVC_12_11">#REF!</definedName>
    <definedName name="TUBO_CPVC_12_6">#REF!</definedName>
    <definedName name="TUBO_CPVC_12_7">#REF!</definedName>
    <definedName name="TUBO_CPVC_12_8">#REF!</definedName>
    <definedName name="TUBO_CPVC_12_9">#REF!</definedName>
    <definedName name="TUBO_FLEXIBLE_INODORO_C_TUERCA" localSheetId="1">#REF!</definedName>
    <definedName name="TUBO_FLEXIBLE_INODORO_C_TUERCA">#REF!</definedName>
    <definedName name="TUBO_FLEXIBLE_INODORO_C_TUERCA_10">#REF!</definedName>
    <definedName name="TUBO_FLEXIBLE_INODORO_C_TUERCA_11">#REF!</definedName>
    <definedName name="TUBO_FLEXIBLE_INODORO_C_TUERCA_6">#REF!</definedName>
    <definedName name="TUBO_FLEXIBLE_INODORO_C_TUERCA_7">#REF!</definedName>
    <definedName name="TUBO_FLEXIBLE_INODORO_C_TUERCA_8">#REF!</definedName>
    <definedName name="TUBO_FLEXIBLE_INODORO_C_TUERCA_9">#REF!</definedName>
    <definedName name="TUBO_HA_36" localSheetId="1">#REF!</definedName>
    <definedName name="TUBO_HA_36">#REF!</definedName>
    <definedName name="TUBO_HA_36_10">#REF!</definedName>
    <definedName name="TUBO_HA_36_11">#REF!</definedName>
    <definedName name="TUBO_HA_36_6">#REF!</definedName>
    <definedName name="TUBO_HA_36_7">#REF!</definedName>
    <definedName name="TUBO_HA_36_8">#REF!</definedName>
    <definedName name="TUBO_HA_36_9">#REF!</definedName>
    <definedName name="TUBO_HG_1" localSheetId="1">#REF!</definedName>
    <definedName name="TUBO_HG_1">#REF!</definedName>
    <definedName name="TUBO_HG_1_10">#REF!</definedName>
    <definedName name="TUBO_HG_1_11">#REF!</definedName>
    <definedName name="TUBO_HG_1_12" localSheetId="1">#REF!</definedName>
    <definedName name="TUBO_HG_1_12">#REF!</definedName>
    <definedName name="TUBO_HG_1_12_10">#REF!</definedName>
    <definedName name="TUBO_HG_1_12_11">#REF!</definedName>
    <definedName name="TUBO_HG_1_12_6">#REF!</definedName>
    <definedName name="TUBO_HG_1_12_7">#REF!</definedName>
    <definedName name="TUBO_HG_1_12_8">#REF!</definedName>
    <definedName name="TUBO_HG_1_12_9">#REF!</definedName>
    <definedName name="TUBO_HG_1_6">#REF!</definedName>
    <definedName name="TUBO_HG_1_7">#REF!</definedName>
    <definedName name="TUBO_HG_1_8">#REF!</definedName>
    <definedName name="TUBO_HG_1_9">#REF!</definedName>
    <definedName name="TUBO_HG_12" localSheetId="1">#REF!</definedName>
    <definedName name="TUBO_HG_12">#REF!</definedName>
    <definedName name="TUBO_HG_12_10">#REF!</definedName>
    <definedName name="TUBO_HG_12_11">#REF!</definedName>
    <definedName name="TUBO_HG_12_6">#REF!</definedName>
    <definedName name="TUBO_HG_12_7">#REF!</definedName>
    <definedName name="TUBO_HG_12_8">#REF!</definedName>
    <definedName name="TUBO_HG_12_9">#REF!</definedName>
    <definedName name="TUBO_HG_34" localSheetId="1">#REF!</definedName>
    <definedName name="TUBO_HG_34">#REF!</definedName>
    <definedName name="TUBO_HG_34_10">#REF!</definedName>
    <definedName name="TUBO_HG_34_11">#REF!</definedName>
    <definedName name="TUBO_HG_34_6">#REF!</definedName>
    <definedName name="TUBO_HG_34_7">#REF!</definedName>
    <definedName name="TUBO_HG_34_8">#REF!</definedName>
    <definedName name="TUBO_HG_34_9">#REF!</definedName>
    <definedName name="TUBO_PVC_DRENAJE_1_12" localSheetId="1">#REF!</definedName>
    <definedName name="TUBO_PVC_DRENAJE_1_12">#REF!</definedName>
    <definedName name="TUBO_PVC_DRENAJE_1_12_10">#REF!</definedName>
    <definedName name="TUBO_PVC_DRENAJE_1_12_11">#REF!</definedName>
    <definedName name="TUBO_PVC_DRENAJE_1_12_6">#REF!</definedName>
    <definedName name="TUBO_PVC_DRENAJE_1_12_7">#REF!</definedName>
    <definedName name="TUBO_PVC_DRENAJE_1_12_8">#REF!</definedName>
    <definedName name="TUBO_PVC_DRENAJE_1_12_9">#REF!</definedName>
    <definedName name="TUBO_PVC_SCH40_12" localSheetId="1">#REF!</definedName>
    <definedName name="TUBO_PVC_SCH40_12">#REF!</definedName>
    <definedName name="TUBO_PVC_SCH40_12_10">#REF!</definedName>
    <definedName name="TUBO_PVC_SCH40_12_11">#REF!</definedName>
    <definedName name="TUBO_PVC_SCH40_12_6">#REF!</definedName>
    <definedName name="TUBO_PVC_SCH40_12_7">#REF!</definedName>
    <definedName name="TUBO_PVC_SCH40_12_8">#REF!</definedName>
    <definedName name="TUBO_PVC_SCH40_12_9">#REF!</definedName>
    <definedName name="TUBO_PVC_SCH40_34" localSheetId="1">#REF!</definedName>
    <definedName name="TUBO_PVC_SCH40_34">#REF!</definedName>
    <definedName name="TUBO_PVC_SCH40_34_10">#REF!</definedName>
    <definedName name="TUBO_PVC_SCH40_34_11">#REF!</definedName>
    <definedName name="TUBO_PVC_SCH40_34_6">#REF!</definedName>
    <definedName name="TUBO_PVC_SCH40_34_7">#REF!</definedName>
    <definedName name="TUBO_PVC_SCH40_34_8">#REF!</definedName>
    <definedName name="TUBO_PVC_SCH40_34_9">#REF!</definedName>
    <definedName name="TUBO_PVC_SDR21_2" localSheetId="1">#REF!</definedName>
    <definedName name="TUBO_PVC_SDR21_2">#REF!</definedName>
    <definedName name="TUBO_PVC_SDR21_2_10">#REF!</definedName>
    <definedName name="TUBO_PVC_SDR21_2_11">#REF!</definedName>
    <definedName name="TUBO_PVC_SDR21_2_6">#REF!</definedName>
    <definedName name="TUBO_PVC_SDR21_2_7">#REF!</definedName>
    <definedName name="TUBO_PVC_SDR21_2_8">#REF!</definedName>
    <definedName name="TUBO_PVC_SDR21_2_9">#REF!</definedName>
    <definedName name="TUBO_PVC_SDR21_JG_16" localSheetId="1">#REF!</definedName>
    <definedName name="TUBO_PVC_SDR21_JG_16">#REF!</definedName>
    <definedName name="TUBO_PVC_SDR21_JG_16_10">#REF!</definedName>
    <definedName name="TUBO_PVC_SDR21_JG_16_11">#REF!</definedName>
    <definedName name="TUBO_PVC_SDR21_JG_16_6">#REF!</definedName>
    <definedName name="TUBO_PVC_SDR21_JG_16_7">#REF!</definedName>
    <definedName name="TUBO_PVC_SDR21_JG_16_8">#REF!</definedName>
    <definedName name="TUBO_PVC_SDR21_JG_16_9">#REF!</definedName>
    <definedName name="TUBO_PVC_SDR21_JG_6" localSheetId="1">#REF!</definedName>
    <definedName name="TUBO_PVC_SDR21_JG_6">#REF!</definedName>
    <definedName name="TUBO_PVC_SDR21_JG_6_10">#REF!</definedName>
    <definedName name="TUBO_PVC_SDR21_JG_6_11">#REF!</definedName>
    <definedName name="TUBO_PVC_SDR21_JG_6_6">#REF!</definedName>
    <definedName name="TUBO_PVC_SDR21_JG_6_7">#REF!</definedName>
    <definedName name="TUBO_PVC_SDR21_JG_6_8">#REF!</definedName>
    <definedName name="TUBO_PVC_SDR21_JG_6_9">#REF!</definedName>
    <definedName name="TUBO_PVC_SDR21_JG_8" localSheetId="1">#REF!</definedName>
    <definedName name="TUBO_PVC_SDR21_JG_8">#REF!</definedName>
    <definedName name="TUBO_PVC_SDR21_JG_8_10">#REF!</definedName>
    <definedName name="TUBO_PVC_SDR21_JG_8_11">#REF!</definedName>
    <definedName name="TUBO_PVC_SDR21_JG_8_6">#REF!</definedName>
    <definedName name="TUBO_PVC_SDR21_JG_8_7">#REF!</definedName>
    <definedName name="TUBO_PVC_SDR21_JG_8_8">#REF!</definedName>
    <definedName name="TUBO_PVC_SDR21_JG_8_9">#REF!</definedName>
    <definedName name="TUBO_PVC_SDR26_12" localSheetId="1">#REF!</definedName>
    <definedName name="TUBO_PVC_SDR26_12">#REF!</definedName>
    <definedName name="TUBO_PVC_SDR26_12_10">#REF!</definedName>
    <definedName name="TUBO_PVC_SDR26_12_11">#REF!</definedName>
    <definedName name="TUBO_PVC_SDR26_12_6">#REF!</definedName>
    <definedName name="TUBO_PVC_SDR26_12_7">#REF!</definedName>
    <definedName name="TUBO_PVC_SDR26_12_8">#REF!</definedName>
    <definedName name="TUBO_PVC_SDR26_12_9">#REF!</definedName>
    <definedName name="TUBO_PVC_SDR26_2" localSheetId="1">#REF!</definedName>
    <definedName name="TUBO_PVC_SDR26_2">#REF!</definedName>
    <definedName name="TUBO_PVC_SDR26_2_10">#REF!</definedName>
    <definedName name="TUBO_PVC_SDR26_2_11">#REF!</definedName>
    <definedName name="TUBO_PVC_SDR26_2_6">#REF!</definedName>
    <definedName name="TUBO_PVC_SDR26_2_7">#REF!</definedName>
    <definedName name="TUBO_PVC_SDR26_2_8">#REF!</definedName>
    <definedName name="TUBO_PVC_SDR26_2_9">#REF!</definedName>
    <definedName name="TUBO_PVC_SDR26_34" localSheetId="1">#REF!</definedName>
    <definedName name="TUBO_PVC_SDR26_34">#REF!</definedName>
    <definedName name="TUBO_PVC_SDR26_34_10">#REF!</definedName>
    <definedName name="TUBO_PVC_SDR26_34_11">#REF!</definedName>
    <definedName name="TUBO_PVC_SDR26_34_6">#REF!</definedName>
    <definedName name="TUBO_PVC_SDR26_34_7">#REF!</definedName>
    <definedName name="TUBO_PVC_SDR26_34_8">#REF!</definedName>
    <definedName name="TUBO_PVC_SDR26_34_9">#REF!</definedName>
    <definedName name="TUBO_PVC_SDR26_JG_16" localSheetId="1">#REF!</definedName>
    <definedName name="TUBO_PVC_SDR26_JG_16">#REF!</definedName>
    <definedName name="TUBO_PVC_SDR26_JG_16_10">#REF!</definedName>
    <definedName name="TUBO_PVC_SDR26_JG_16_11">#REF!</definedName>
    <definedName name="TUBO_PVC_SDR26_JG_16_6">#REF!</definedName>
    <definedName name="TUBO_PVC_SDR26_JG_16_7">#REF!</definedName>
    <definedName name="TUBO_PVC_SDR26_JG_16_8">#REF!</definedName>
    <definedName name="TUBO_PVC_SDR26_JG_16_9">#REF!</definedName>
    <definedName name="TUBO_PVC_SDR26_JG_3" localSheetId="1">#REF!</definedName>
    <definedName name="TUBO_PVC_SDR26_JG_3">#REF!</definedName>
    <definedName name="TUBO_PVC_SDR26_JG_3_10">#REF!</definedName>
    <definedName name="TUBO_PVC_SDR26_JG_3_11">#REF!</definedName>
    <definedName name="TUBO_PVC_SDR26_JG_3_6">#REF!</definedName>
    <definedName name="TUBO_PVC_SDR26_JG_3_7">#REF!</definedName>
    <definedName name="TUBO_PVC_SDR26_JG_3_8">#REF!</definedName>
    <definedName name="TUBO_PVC_SDR26_JG_3_9">#REF!</definedName>
    <definedName name="TUBO_PVC_SDR26_JG_4" localSheetId="1">#REF!</definedName>
    <definedName name="TUBO_PVC_SDR26_JG_4">#REF!</definedName>
    <definedName name="TUBO_PVC_SDR26_JG_4_10">#REF!</definedName>
    <definedName name="TUBO_PVC_SDR26_JG_4_11">#REF!</definedName>
    <definedName name="TUBO_PVC_SDR26_JG_4_6">#REF!</definedName>
    <definedName name="TUBO_PVC_SDR26_JG_4_7">#REF!</definedName>
    <definedName name="TUBO_PVC_SDR26_JG_4_8">#REF!</definedName>
    <definedName name="TUBO_PVC_SDR26_JG_4_9">#REF!</definedName>
    <definedName name="TUBO_PVC_SDR26_JG_6" localSheetId="1">#REF!</definedName>
    <definedName name="TUBO_PVC_SDR26_JG_6">#REF!</definedName>
    <definedName name="TUBO_PVC_SDR26_JG_6_10">#REF!</definedName>
    <definedName name="TUBO_PVC_SDR26_JG_6_11">#REF!</definedName>
    <definedName name="TUBO_PVC_SDR26_JG_6_6">#REF!</definedName>
    <definedName name="TUBO_PVC_SDR26_JG_6_7">#REF!</definedName>
    <definedName name="TUBO_PVC_SDR26_JG_6_8">#REF!</definedName>
    <definedName name="TUBO_PVC_SDR26_JG_6_9">#REF!</definedName>
    <definedName name="TUBO_PVC_SDR26_JG_8" localSheetId="1">#REF!</definedName>
    <definedName name="TUBO_PVC_SDR26_JG_8">#REF!</definedName>
    <definedName name="TUBO_PVC_SDR26_JG_8_10">#REF!</definedName>
    <definedName name="TUBO_PVC_SDR26_JG_8_11">#REF!</definedName>
    <definedName name="TUBO_PVC_SDR26_JG_8_6">#REF!</definedName>
    <definedName name="TUBO_PVC_SDR26_JG_8_7">#REF!</definedName>
    <definedName name="TUBO_PVC_SDR26_JG_8_8">#REF!</definedName>
    <definedName name="TUBO_PVC_SDR26_JG_8_9">#REF!</definedName>
    <definedName name="TUBO_PVC_SDR325_JG_16" localSheetId="1">#REF!</definedName>
    <definedName name="TUBO_PVC_SDR325_JG_16">#REF!</definedName>
    <definedName name="TUBO_PVC_SDR325_JG_16_10">#REF!</definedName>
    <definedName name="TUBO_PVC_SDR325_JG_16_11">#REF!</definedName>
    <definedName name="TUBO_PVC_SDR325_JG_16_6">#REF!</definedName>
    <definedName name="TUBO_PVC_SDR325_JG_16_7">#REF!</definedName>
    <definedName name="TUBO_PVC_SDR325_JG_16_8">#REF!</definedName>
    <definedName name="TUBO_PVC_SDR325_JG_16_9">#REF!</definedName>
    <definedName name="TUBO_PVC_SDR325_JG_20" localSheetId="1">#REF!</definedName>
    <definedName name="TUBO_PVC_SDR325_JG_20">#REF!</definedName>
    <definedName name="TUBO_PVC_SDR325_JG_20_10">#REF!</definedName>
    <definedName name="TUBO_PVC_SDR325_JG_20_11">#REF!</definedName>
    <definedName name="TUBO_PVC_SDR325_JG_20_6">#REF!</definedName>
    <definedName name="TUBO_PVC_SDR325_JG_20_7">#REF!</definedName>
    <definedName name="TUBO_PVC_SDR325_JG_20_8">#REF!</definedName>
    <definedName name="TUBO_PVC_SDR325_JG_20_9">#REF!</definedName>
    <definedName name="TUBO_PVC_SDR325_JG_8" localSheetId="1">#REF!</definedName>
    <definedName name="TUBO_PVC_SDR325_JG_8">#REF!</definedName>
    <definedName name="TUBO_PVC_SDR325_JG_8_10">#REF!</definedName>
    <definedName name="TUBO_PVC_SDR325_JG_8_11">#REF!</definedName>
    <definedName name="TUBO_PVC_SDR325_JG_8_6">#REF!</definedName>
    <definedName name="TUBO_PVC_SDR325_JG_8_7">#REF!</definedName>
    <definedName name="TUBO_PVC_SDR325_JG_8_8">#REF!</definedName>
    <definedName name="TUBO_PVC_SDR325_JG_8_9">#REF!</definedName>
    <definedName name="TUBO_PVC_SDR41_2" localSheetId="1">#REF!</definedName>
    <definedName name="TUBO_PVC_SDR41_2">#REF!</definedName>
    <definedName name="TUBO_PVC_SDR41_2_10">#REF!</definedName>
    <definedName name="TUBO_PVC_SDR41_2_11">#REF!</definedName>
    <definedName name="TUBO_PVC_SDR41_2_6">#REF!</definedName>
    <definedName name="TUBO_PVC_SDR41_2_7">#REF!</definedName>
    <definedName name="TUBO_PVC_SDR41_2_8">#REF!</definedName>
    <definedName name="TUBO_PVC_SDR41_2_9">#REF!</definedName>
    <definedName name="TUBO_PVC_SDR41_3" localSheetId="1">#REF!</definedName>
    <definedName name="TUBO_PVC_SDR41_3">#REF!</definedName>
    <definedName name="TUBO_PVC_SDR41_3_10">#REF!</definedName>
    <definedName name="TUBO_PVC_SDR41_3_11">#REF!</definedName>
    <definedName name="TUBO_PVC_SDR41_3_6">#REF!</definedName>
    <definedName name="TUBO_PVC_SDR41_3_7">#REF!</definedName>
    <definedName name="TUBO_PVC_SDR41_3_8">#REF!</definedName>
    <definedName name="TUBO_PVC_SDR41_3_9">#REF!</definedName>
    <definedName name="TUBO_PVC_SDR41_4" localSheetId="1">#REF!</definedName>
    <definedName name="TUBO_PVC_SDR41_4">#REF!</definedName>
    <definedName name="TUBO_PVC_SDR41_4_10">#REF!</definedName>
    <definedName name="TUBO_PVC_SDR41_4_11">#REF!</definedName>
    <definedName name="TUBO_PVC_SDR41_4_6">#REF!</definedName>
    <definedName name="TUBO_PVC_SDR41_4_7">#REF!</definedName>
    <definedName name="TUBO_PVC_SDR41_4_8">#REF!</definedName>
    <definedName name="TUBO_PVC_SDR41_4_9">#REF!</definedName>
    <definedName name="TYPE_3M" localSheetId="1">#REF!</definedName>
    <definedName name="TYPE_3M">#REF!</definedName>
    <definedName name="TYPE_3M_10">#REF!</definedName>
    <definedName name="TYPE_3M_11">#REF!</definedName>
    <definedName name="TYPE_3M_6">#REF!</definedName>
    <definedName name="TYPE_3M_7">#REF!</definedName>
    <definedName name="TYPE_3M_8">#REF!</definedName>
    <definedName name="TYPE_3M_9">#REF!</definedName>
    <definedName name="UND">#N/A</definedName>
    <definedName name="UND_6">NA()</definedName>
    <definedName name="UNION_HG_1" localSheetId="1">#REF!</definedName>
    <definedName name="UNION_HG_1">#REF!</definedName>
    <definedName name="UNION_HG_1_10">#REF!</definedName>
    <definedName name="UNION_HG_1_11">#REF!</definedName>
    <definedName name="UNION_HG_1_6">#REF!</definedName>
    <definedName name="UNION_HG_1_7">#REF!</definedName>
    <definedName name="UNION_HG_1_8">#REF!</definedName>
    <definedName name="UNION_HG_1_9">#REF!</definedName>
    <definedName name="UNION_HG_12" localSheetId="1">#REF!</definedName>
    <definedName name="UNION_HG_12">#REF!</definedName>
    <definedName name="UNION_HG_12_10">#REF!</definedName>
    <definedName name="UNION_HG_12_11">#REF!</definedName>
    <definedName name="UNION_HG_12_6">#REF!</definedName>
    <definedName name="UNION_HG_12_7">#REF!</definedName>
    <definedName name="UNION_HG_12_8">#REF!</definedName>
    <definedName name="UNION_HG_12_9">#REF!</definedName>
    <definedName name="UNION_HG_34" localSheetId="1">#REF!</definedName>
    <definedName name="UNION_HG_34">#REF!</definedName>
    <definedName name="UNION_HG_34_10">#REF!</definedName>
    <definedName name="UNION_HG_34_11">#REF!</definedName>
    <definedName name="UNION_HG_34_6">#REF!</definedName>
    <definedName name="UNION_HG_34_7">#REF!</definedName>
    <definedName name="UNION_HG_34_8">#REF!</definedName>
    <definedName name="UNION_HG_34_9">#REF!</definedName>
    <definedName name="UNION_PVC_PRES_12" localSheetId="1">#REF!</definedName>
    <definedName name="UNION_PVC_PRES_12">#REF!</definedName>
    <definedName name="UNION_PVC_PRES_12_10">#REF!</definedName>
    <definedName name="UNION_PVC_PRES_12_11">#REF!</definedName>
    <definedName name="UNION_PVC_PRES_12_6">#REF!</definedName>
    <definedName name="UNION_PVC_PRES_12_7">#REF!</definedName>
    <definedName name="UNION_PVC_PRES_12_8">#REF!</definedName>
    <definedName name="UNION_PVC_PRES_12_9">#REF!</definedName>
    <definedName name="UNION_PVC_PRES_34" localSheetId="1">#REF!</definedName>
    <definedName name="UNION_PVC_PRES_34">#REF!</definedName>
    <definedName name="UNION_PVC_PRES_34_10">#REF!</definedName>
    <definedName name="UNION_PVC_PRES_34_11">#REF!</definedName>
    <definedName name="UNION_PVC_PRES_34_6">#REF!</definedName>
    <definedName name="UNION_PVC_PRES_34_7">#REF!</definedName>
    <definedName name="UNION_PVC_PRES_34_8">#REF!</definedName>
    <definedName name="UNION_PVC_PRES_34_9">#REF!</definedName>
    <definedName name="UoM">#REF!</definedName>
    <definedName name="vaciadohormigonindustrial" localSheetId="1">#REF!</definedName>
    <definedName name="vaciadohormigonindustrial">#REF!</definedName>
    <definedName name="vaciadohormigonindustrial_8">#REF!</definedName>
    <definedName name="vaciadozapata" localSheetId="1">#REF!</definedName>
    <definedName name="vaciadozapata">#REF!</definedName>
    <definedName name="vaciadozapata_8">#REF!</definedName>
    <definedName name="VALVULA_AIRE_1_HF_ROSCADA" localSheetId="1">#REF!</definedName>
    <definedName name="VALVULA_AIRE_1_HF_ROSCADA">#REF!</definedName>
    <definedName name="VALVULA_AIRE_1_HF_ROSCADA_10">#REF!</definedName>
    <definedName name="VALVULA_AIRE_1_HF_ROSCADA_11">#REF!</definedName>
    <definedName name="VALVULA_AIRE_1_HF_ROSCADA_6">#REF!</definedName>
    <definedName name="VALVULA_AIRE_1_HF_ROSCADA_7">#REF!</definedName>
    <definedName name="VALVULA_AIRE_1_HF_ROSCADA_8">#REF!</definedName>
    <definedName name="VALVULA_AIRE_1_HF_ROSCADA_9">#REF!</definedName>
    <definedName name="VALVULA_AIRE_3_HF_ROSCADA" localSheetId="1">#REF!</definedName>
    <definedName name="VALVULA_AIRE_3_HF_ROSCADA">#REF!</definedName>
    <definedName name="VALVULA_AIRE_3_HF_ROSCADA_10">#REF!</definedName>
    <definedName name="VALVULA_AIRE_3_HF_ROSCADA_11">#REF!</definedName>
    <definedName name="VALVULA_AIRE_3_HF_ROSCADA_6">#REF!</definedName>
    <definedName name="VALVULA_AIRE_3_HF_ROSCADA_7">#REF!</definedName>
    <definedName name="VALVULA_AIRE_3_HF_ROSCADA_8">#REF!</definedName>
    <definedName name="VALVULA_AIRE_3_HF_ROSCADA_9">#REF!</definedName>
    <definedName name="VALVULA_AIRE_34_HF_ROSCADA" localSheetId="1">#REF!</definedName>
    <definedName name="VALVULA_AIRE_34_HF_ROSCADA">#REF!</definedName>
    <definedName name="VALVULA_AIRE_34_HF_ROSCADA_10">#REF!</definedName>
    <definedName name="VALVULA_AIRE_34_HF_ROSCADA_11">#REF!</definedName>
    <definedName name="VALVULA_AIRE_34_HF_ROSCADA_6">#REF!</definedName>
    <definedName name="VALVULA_AIRE_34_HF_ROSCADA_7">#REF!</definedName>
    <definedName name="VALVULA_AIRE_34_HF_ROSCADA_8">#REF!</definedName>
    <definedName name="VALVULA_AIRE_34_HF_ROSCADA_9">#REF!</definedName>
    <definedName name="VALVULA_COMP_12_HF_PLATILLADA" localSheetId="1">#REF!</definedName>
    <definedName name="VALVULA_COMP_12_HF_PLATILLADA">#REF!</definedName>
    <definedName name="VALVULA_COMP_12_HF_PLATILLADA_10">#REF!</definedName>
    <definedName name="VALVULA_COMP_12_HF_PLATILLADA_11">#REF!</definedName>
    <definedName name="VALVULA_COMP_12_HF_PLATILLADA_6">#REF!</definedName>
    <definedName name="VALVULA_COMP_12_HF_PLATILLADA_7">#REF!</definedName>
    <definedName name="VALVULA_COMP_12_HF_PLATILLADA_8">#REF!</definedName>
    <definedName name="VALVULA_COMP_12_HF_PLATILLADA_9">#REF!</definedName>
    <definedName name="VALVULA_COMP_16_HF_PLATILLADA" localSheetId="1">#REF!</definedName>
    <definedName name="VALVULA_COMP_16_HF_PLATILLADA">#REF!</definedName>
    <definedName name="VALVULA_COMP_16_HF_PLATILLADA_10">#REF!</definedName>
    <definedName name="VALVULA_COMP_16_HF_PLATILLADA_11">#REF!</definedName>
    <definedName name="VALVULA_COMP_16_HF_PLATILLADA_6">#REF!</definedName>
    <definedName name="VALVULA_COMP_16_HF_PLATILLADA_7">#REF!</definedName>
    <definedName name="VALVULA_COMP_16_HF_PLATILLADA_8">#REF!</definedName>
    <definedName name="VALVULA_COMP_16_HF_PLATILLADA_9">#REF!</definedName>
    <definedName name="VALVULA_COMP_2_12_HF_ROSCADA" localSheetId="1">#REF!</definedName>
    <definedName name="VALVULA_COMP_2_12_HF_ROSCADA">#REF!</definedName>
    <definedName name="VALVULA_COMP_2_12_HF_ROSCADA_10">#REF!</definedName>
    <definedName name="VALVULA_COMP_2_12_HF_ROSCADA_11">#REF!</definedName>
    <definedName name="VALVULA_COMP_2_12_HF_ROSCADA_6">#REF!</definedName>
    <definedName name="VALVULA_COMP_2_12_HF_ROSCADA_7">#REF!</definedName>
    <definedName name="VALVULA_COMP_2_12_HF_ROSCADA_8">#REF!</definedName>
    <definedName name="VALVULA_COMP_2_12_HF_ROSCADA_9">#REF!</definedName>
    <definedName name="VALVULA_COMP_2_HF_ROSCADA" localSheetId="1">#REF!</definedName>
    <definedName name="VALVULA_COMP_2_HF_ROSCADA">#REF!</definedName>
    <definedName name="VALVULA_COMP_2_HF_ROSCADA_10">#REF!</definedName>
    <definedName name="VALVULA_COMP_2_HF_ROSCADA_11">#REF!</definedName>
    <definedName name="VALVULA_COMP_2_HF_ROSCADA_6">#REF!</definedName>
    <definedName name="VALVULA_COMP_2_HF_ROSCADA_7">#REF!</definedName>
    <definedName name="VALVULA_COMP_2_HF_ROSCADA_8">#REF!</definedName>
    <definedName name="VALVULA_COMP_2_HF_ROSCADA_9">#REF!</definedName>
    <definedName name="VALVULA_COMP_20_HF_PLATILLADA" localSheetId="1">#REF!</definedName>
    <definedName name="VALVULA_COMP_20_HF_PLATILLADA">#REF!</definedName>
    <definedName name="VALVULA_COMP_20_HF_PLATILLADA_10">#REF!</definedName>
    <definedName name="VALVULA_COMP_20_HF_PLATILLADA_11">#REF!</definedName>
    <definedName name="VALVULA_COMP_20_HF_PLATILLADA_6">#REF!</definedName>
    <definedName name="VALVULA_COMP_20_HF_PLATILLADA_7">#REF!</definedName>
    <definedName name="VALVULA_COMP_20_HF_PLATILLADA_8">#REF!</definedName>
    <definedName name="VALVULA_COMP_20_HF_PLATILLADA_9">#REF!</definedName>
    <definedName name="VALVULA_COMP_3_HF_ROSCADA" localSheetId="1">#REF!</definedName>
    <definedName name="VALVULA_COMP_3_HF_ROSCADA">#REF!</definedName>
    <definedName name="VALVULA_COMP_3_HF_ROSCADA_10">#REF!</definedName>
    <definedName name="VALVULA_COMP_3_HF_ROSCADA_11">#REF!</definedName>
    <definedName name="VALVULA_COMP_3_HF_ROSCADA_6">#REF!</definedName>
    <definedName name="VALVULA_COMP_3_HF_ROSCADA_7">#REF!</definedName>
    <definedName name="VALVULA_COMP_3_HF_ROSCADA_8">#REF!</definedName>
    <definedName name="VALVULA_COMP_3_HF_ROSCADA_9">#REF!</definedName>
    <definedName name="VALVULA_COMP_4_HF_PLATILLADA" localSheetId="1">#REF!</definedName>
    <definedName name="VALVULA_COMP_4_HF_PLATILLADA">#REF!</definedName>
    <definedName name="VALVULA_COMP_4_HF_PLATILLADA_10">#REF!</definedName>
    <definedName name="VALVULA_COMP_4_HF_PLATILLADA_11">#REF!</definedName>
    <definedName name="VALVULA_COMP_4_HF_PLATILLADA_6">#REF!</definedName>
    <definedName name="VALVULA_COMP_4_HF_PLATILLADA_7">#REF!</definedName>
    <definedName name="VALVULA_COMP_4_HF_PLATILLADA_8">#REF!</definedName>
    <definedName name="VALVULA_COMP_4_HF_PLATILLADA_9">#REF!</definedName>
    <definedName name="VALVULA_COMP_4_HF_ROSCADA" localSheetId="1">#REF!</definedName>
    <definedName name="VALVULA_COMP_4_HF_ROSCADA">#REF!</definedName>
    <definedName name="VALVULA_COMP_4_HF_ROSCADA_10">#REF!</definedName>
    <definedName name="VALVULA_COMP_4_HF_ROSCADA_11">#REF!</definedName>
    <definedName name="VALVULA_COMP_4_HF_ROSCADA_6">#REF!</definedName>
    <definedName name="VALVULA_COMP_4_HF_ROSCADA_7">#REF!</definedName>
    <definedName name="VALVULA_COMP_4_HF_ROSCADA_8">#REF!</definedName>
    <definedName name="VALVULA_COMP_4_HF_ROSCADA_9">#REF!</definedName>
    <definedName name="VALVULA_COMP_6_HF_PLATILLADA" localSheetId="1">#REF!</definedName>
    <definedName name="VALVULA_COMP_6_HF_PLATILLADA">#REF!</definedName>
    <definedName name="VALVULA_COMP_6_HF_PLATILLADA_10">#REF!</definedName>
    <definedName name="VALVULA_COMP_6_HF_PLATILLADA_11">#REF!</definedName>
    <definedName name="VALVULA_COMP_6_HF_PLATILLADA_6">#REF!</definedName>
    <definedName name="VALVULA_COMP_6_HF_PLATILLADA_7">#REF!</definedName>
    <definedName name="VALVULA_COMP_6_HF_PLATILLADA_8">#REF!</definedName>
    <definedName name="VALVULA_COMP_6_HF_PLATILLADA_9">#REF!</definedName>
    <definedName name="VALVULA_COMP_8_HF_PLATILLADA" localSheetId="1">#REF!</definedName>
    <definedName name="VALVULA_COMP_8_HF_PLATILLADA">#REF!</definedName>
    <definedName name="VALVULA_COMP_8_HF_PLATILLADA_10">#REF!</definedName>
    <definedName name="VALVULA_COMP_8_HF_PLATILLADA_11">#REF!</definedName>
    <definedName name="VALVULA_COMP_8_HF_PLATILLADA_6">#REF!</definedName>
    <definedName name="VALVULA_COMP_8_HF_PLATILLADA_7">#REF!</definedName>
    <definedName name="VALVULA_COMP_8_HF_PLATILLADA_8">#REF!</definedName>
    <definedName name="VALVULA_COMP_8_HF_PLATILLADA_9">#REF!</definedName>
    <definedName name="VARILLA_BLOQUES_20" localSheetId="1">#REF!</definedName>
    <definedName name="VARILLA_BLOQUES_20">#REF!</definedName>
    <definedName name="VARILLA_BLOQUES_20_10">#REF!</definedName>
    <definedName name="VARILLA_BLOQUES_20_11">#REF!</definedName>
    <definedName name="VARILLA_BLOQUES_20_6">#REF!</definedName>
    <definedName name="VARILLA_BLOQUES_20_7">#REF!</definedName>
    <definedName name="VARILLA_BLOQUES_20_8">#REF!</definedName>
    <definedName name="VARILLA_BLOQUES_20_9">#REF!</definedName>
    <definedName name="VARILLA_BLOQUES_40" localSheetId="1">#REF!</definedName>
    <definedName name="VARILLA_BLOQUES_40">#REF!</definedName>
    <definedName name="VARILLA_BLOQUES_40_10">#REF!</definedName>
    <definedName name="VARILLA_BLOQUES_40_11">#REF!</definedName>
    <definedName name="VARILLA_BLOQUES_40_6">#REF!</definedName>
    <definedName name="VARILLA_BLOQUES_40_7">#REF!</definedName>
    <definedName name="VARILLA_BLOQUES_40_8">#REF!</definedName>
    <definedName name="VARILLA_BLOQUES_40_9">#REF!</definedName>
    <definedName name="VARILLA_BLOQUES_60" localSheetId="1">#REF!</definedName>
    <definedName name="VARILLA_BLOQUES_60">#REF!</definedName>
    <definedName name="VARILLA_BLOQUES_60_10">#REF!</definedName>
    <definedName name="VARILLA_BLOQUES_60_11">#REF!</definedName>
    <definedName name="VARILLA_BLOQUES_60_6">#REF!</definedName>
    <definedName name="VARILLA_BLOQUES_60_7">#REF!</definedName>
    <definedName name="VARILLA_BLOQUES_60_8">#REF!</definedName>
    <definedName name="VARILLA_BLOQUES_60_9">#REF!</definedName>
    <definedName name="VARILLA_BLOQUES_80" localSheetId="1">#REF!</definedName>
    <definedName name="VARILLA_BLOQUES_80">#REF!</definedName>
    <definedName name="VARILLA_BLOQUES_80_10">#REF!</definedName>
    <definedName name="VARILLA_BLOQUES_80_11">#REF!</definedName>
    <definedName name="VARILLA_BLOQUES_80_6">#REF!</definedName>
    <definedName name="VARILLA_BLOQUES_80_7">#REF!</definedName>
    <definedName name="VARILLA_BLOQUES_80_8">#REF!</definedName>
    <definedName name="VARILLA_BLOQUES_80_9">#REF!</definedName>
    <definedName name="VCOLGANTE1590" localSheetId="1">#REF!</definedName>
    <definedName name="VCOLGANTE1590">#REF!</definedName>
    <definedName name="VCOLGANTE1590_6">#REF!</definedName>
    <definedName name="verja">#REF!</definedName>
    <definedName name="VIBRADO" localSheetId="1">#REF!</definedName>
    <definedName name="VIBRADO">#REF!</definedName>
    <definedName name="VIBRADO_10">#REF!</definedName>
    <definedName name="VIBRADO_11">#REF!</definedName>
    <definedName name="VIBRADO_6">#REF!</definedName>
    <definedName name="VIBRADO_7">#REF!</definedName>
    <definedName name="VIBRADO_8">#REF!</definedName>
    <definedName name="VIBRADO_9">#REF!</definedName>
    <definedName name="VIGASHP" localSheetId="1">#REF!</definedName>
    <definedName name="VIGASHP">#REF!</definedName>
    <definedName name="VIGASHP_8">#REF!</definedName>
    <definedName name="VIOLINADO" localSheetId="1">#REF!</definedName>
    <definedName name="VIOLINADO">#REF!</definedName>
    <definedName name="VIOLINADO_10">#REF!</definedName>
    <definedName name="VIOLINADO_11">#REF!</definedName>
    <definedName name="VIOLINADO_6">#REF!</definedName>
    <definedName name="VIOLINADO_7">#REF!</definedName>
    <definedName name="VIOLINADO_8">#REF!</definedName>
    <definedName name="VIOLINADO_9">#REF!</definedName>
    <definedName name="VUELO10" localSheetId="1">#REF!</definedName>
    <definedName name="VUELO10">#REF!</definedName>
    <definedName name="VUELO10_6">#REF!</definedName>
    <definedName name="w">#REF!</definedName>
    <definedName name="Winche" localSheetId="1">#REF!</definedName>
    <definedName name="Winche">#REF!</definedName>
    <definedName name="Winche_10">#REF!</definedName>
    <definedName name="Winche_11">#REF!</definedName>
    <definedName name="Winche_6">#REF!</definedName>
    <definedName name="Winche_7">#REF!</definedName>
    <definedName name="Winche_8">#REF!</definedName>
    <definedName name="Winche_9">#REF!</definedName>
    <definedName name="WWW">[25]INS!$D$561</definedName>
    <definedName name="XXX">#REF!</definedName>
    <definedName name="XXXXXXX">#REF!</definedName>
    <definedName name="YEE_PVC_DREN_2" localSheetId="1">#REF!</definedName>
    <definedName name="YEE_PVC_DREN_2">#REF!</definedName>
    <definedName name="YEE_PVC_DREN_2_10">#REF!</definedName>
    <definedName name="YEE_PVC_DREN_2_11">#REF!</definedName>
    <definedName name="YEE_PVC_DREN_2_6">#REF!</definedName>
    <definedName name="YEE_PVC_DREN_2_7">#REF!</definedName>
    <definedName name="YEE_PVC_DREN_2_8">#REF!</definedName>
    <definedName name="YEE_PVC_DREN_2_9">#REF!</definedName>
    <definedName name="YEE_PVC_DREN_3" localSheetId="1">#REF!</definedName>
    <definedName name="YEE_PVC_DREN_3">#REF!</definedName>
    <definedName name="YEE_PVC_DREN_3_10">#REF!</definedName>
    <definedName name="YEE_PVC_DREN_3_11">#REF!</definedName>
    <definedName name="YEE_PVC_DREN_3_6">#REF!</definedName>
    <definedName name="YEE_PVC_DREN_3_7">#REF!</definedName>
    <definedName name="YEE_PVC_DREN_3_8">#REF!</definedName>
    <definedName name="YEE_PVC_DREN_3_9">#REF!</definedName>
    <definedName name="YEE_PVC_DREN_4" localSheetId="1">#REF!</definedName>
    <definedName name="YEE_PVC_DREN_4">#REF!</definedName>
    <definedName name="YEE_PVC_DREN_4_10">#REF!</definedName>
    <definedName name="YEE_PVC_DREN_4_11">#REF!</definedName>
    <definedName name="YEE_PVC_DREN_4_6">#REF!</definedName>
    <definedName name="YEE_PVC_DREN_4_7">#REF!</definedName>
    <definedName name="YEE_PVC_DREN_4_8">#REF!</definedName>
    <definedName name="YEE_PVC_DREN_4_9">#REF!</definedName>
    <definedName name="YEE_PVC_DREN_4x2" localSheetId="1">#REF!</definedName>
    <definedName name="YEE_PVC_DREN_4x2">#REF!</definedName>
    <definedName name="YEE_PVC_DREN_4x2_10">#REF!</definedName>
    <definedName name="YEE_PVC_DREN_4x2_11">#REF!</definedName>
    <definedName name="YEE_PVC_DREN_4x2_6">#REF!</definedName>
    <definedName name="YEE_PVC_DREN_4x2_7">#REF!</definedName>
    <definedName name="YEE_PVC_DREN_4x2_8">#REF!</definedName>
    <definedName name="YEE_PVC_DREN_4x2_9">#REF!</definedName>
    <definedName name="ZC1_6">#REF!</definedName>
    <definedName name="ZE1_6">#REF!</definedName>
    <definedName name="ZE2_6">#REF!</definedName>
    <definedName name="ZE3_6">#REF!</definedName>
    <definedName name="ZE4_6">#REF!</definedName>
    <definedName name="ZE5_6">#REF!</definedName>
    <definedName name="ZE6_6">#REF!</definedName>
    <definedName name="ZINC_CAL26_3x6" localSheetId="1">#REF!</definedName>
    <definedName name="ZINC_CAL26_3x6">#REF!</definedName>
    <definedName name="ZINC_CAL26_3x6_10">#REF!</definedName>
    <definedName name="ZINC_CAL26_3x6_11">#REF!</definedName>
    <definedName name="ZINC_CAL26_3x6_6">#REF!</definedName>
    <definedName name="ZINC_CAL26_3x6_7">#REF!</definedName>
    <definedName name="ZINC_CAL26_3x6_8">#REF!</definedName>
    <definedName name="ZINC_CAL26_3x6_9">#REF!</definedName>
    <definedName name="ZOCALO_8x34" localSheetId="1">#REF!</definedName>
    <definedName name="ZOCALO_8x34">#REF!</definedName>
    <definedName name="ZOCALO_8x34_10">#REF!</definedName>
    <definedName name="ZOCALO_8x34_11">#REF!</definedName>
    <definedName name="ZOCALO_8x34_6">#REF!</definedName>
    <definedName name="ZOCALO_8x34_7">#REF!</definedName>
    <definedName name="ZOCALO_8x34_8">#REF!</definedName>
    <definedName name="ZOCALO_8x34_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9" i="7" l="1"/>
  <c r="F348" i="7"/>
  <c r="F347" i="7"/>
  <c r="F346" i="7"/>
  <c r="F345" i="7"/>
  <c r="F342" i="7"/>
  <c r="F341" i="7"/>
  <c r="F340" i="7"/>
  <c r="F339" i="7"/>
  <c r="F338" i="7"/>
  <c r="F337" i="7"/>
  <c r="F336" i="7"/>
  <c r="F335" i="7"/>
  <c r="F334" i="7"/>
  <c r="F333" i="7"/>
  <c r="F332" i="7"/>
  <c r="F331" i="7"/>
  <c r="F330" i="7"/>
  <c r="F329" i="7"/>
  <c r="F328" i="7"/>
  <c r="F327" i="7"/>
  <c r="F326" i="7"/>
  <c r="F325" i="7"/>
  <c r="F324" i="7"/>
  <c r="F323" i="7"/>
  <c r="F322" i="7"/>
  <c r="F321" i="7"/>
  <c r="F320" i="7"/>
  <c r="F319" i="7"/>
  <c r="F318" i="7"/>
  <c r="F317" i="7"/>
  <c r="F316" i="7"/>
  <c r="F343" i="7" s="1"/>
  <c r="F311" i="7"/>
  <c r="F310" i="7"/>
  <c r="F309" i="7"/>
  <c r="F308" i="7"/>
  <c r="F307" i="7"/>
  <c r="F306" i="7"/>
  <c r="F305" i="7"/>
  <c r="F304" i="7"/>
  <c r="F303" i="7"/>
  <c r="F302" i="7"/>
  <c r="F301" i="7"/>
  <c r="F300" i="7"/>
  <c r="F299" i="7"/>
  <c r="F298" i="7"/>
  <c r="F297" i="7"/>
  <c r="F296" i="7"/>
  <c r="F295" i="7"/>
  <c r="F294" i="7"/>
  <c r="F293" i="7"/>
  <c r="F292" i="7"/>
  <c r="F291" i="7"/>
  <c r="F290" i="7"/>
  <c r="F289" i="7"/>
  <c r="F288"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8" i="7" l="1"/>
  <c r="C287" i="7"/>
  <c r="F287" i="7" s="1"/>
  <c r="F312" i="7" s="1"/>
  <c r="F314" i="7" s="1"/>
  <c r="A55" i="7"/>
  <c r="A56" i="7" s="1"/>
  <c r="A57" i="7" s="1"/>
  <c r="A58" i="7" s="1"/>
  <c r="A59" i="7" s="1"/>
  <c r="A60" i="7" s="1"/>
  <c r="A61" i="7" s="1"/>
  <c r="A18" i="7"/>
  <c r="A19" i="7" s="1"/>
  <c r="A20" i="7" s="1"/>
  <c r="A21" i="7" s="1"/>
  <c r="A22" i="7" s="1"/>
  <c r="A23" i="7" s="1"/>
  <c r="F351" i="7" l="1"/>
  <c r="F352" i="7" s="1"/>
  <c r="C426" i="2"/>
  <c r="C425" i="2"/>
  <c r="C424" i="2"/>
  <c r="F362" i="7" l="1"/>
  <c r="F356" i="7"/>
  <c r="F357" i="7"/>
  <c r="F361" i="7"/>
  <c r="F355" i="7"/>
  <c r="F358" i="7"/>
  <c r="F360" i="7"/>
  <c r="F354" i="7"/>
  <c r="F365" i="7"/>
  <c r="F359" i="7"/>
  <c r="F364" i="7"/>
  <c r="F363" i="7"/>
  <c r="L1308" i="2"/>
  <c r="C1303" i="2"/>
  <c r="F1303" i="2" s="1"/>
  <c r="I1301" i="2"/>
  <c r="L1301" i="2" s="1"/>
  <c r="F366" i="7" l="1"/>
  <c r="F368" i="7" s="1"/>
  <c r="F370" i="7" s="1"/>
  <c r="L1303" i="2"/>
  <c r="M1303" i="2" s="1"/>
  <c r="C1564" i="2" l="1"/>
  <c r="F1564" i="2" s="1"/>
  <c r="C1563" i="2"/>
  <c r="F1563" i="2" s="1"/>
  <c r="C1557" i="2"/>
  <c r="F1557" i="2" s="1"/>
  <c r="C1556" i="2"/>
  <c r="F1556" i="2" s="1"/>
  <c r="C1547" i="2"/>
  <c r="F1547" i="2" s="1"/>
  <c r="C1546" i="2"/>
  <c r="F1546" i="2" s="1"/>
  <c r="C1541" i="2"/>
  <c r="F1541" i="2" s="1"/>
  <c r="C1540" i="2"/>
  <c r="F1540" i="2" s="1"/>
  <c r="F1539" i="2"/>
  <c r="C1520" i="2" l="1"/>
  <c r="F1520" i="2" s="1"/>
  <c r="C1519" i="2"/>
  <c r="F1514" i="2"/>
  <c r="F1513" i="2"/>
  <c r="F1512" i="2"/>
  <c r="F1511" i="2"/>
  <c r="F1510" i="2"/>
  <c r="F1506" i="2"/>
  <c r="F1505" i="2"/>
  <c r="F1504" i="2"/>
  <c r="F1503" i="2"/>
  <c r="F1502" i="2"/>
  <c r="F1501" i="2"/>
  <c r="F1500" i="2"/>
  <c r="F1499" i="2"/>
  <c r="F1493" i="2"/>
  <c r="F1492" i="2"/>
  <c r="F1491" i="2"/>
  <c r="F1490" i="2"/>
  <c r="F1489" i="2"/>
  <c r="F1488" i="2"/>
  <c r="F1487" i="2"/>
  <c r="F1486" i="2"/>
  <c r="F1485" i="2"/>
  <c r="F1484" i="2"/>
  <c r="F1483" i="2"/>
  <c r="F1482" i="2"/>
  <c r="F1481" i="2"/>
  <c r="F1480" i="2"/>
  <c r="F1479" i="2"/>
  <c r="F1478" i="2"/>
  <c r="F1477" i="2"/>
  <c r="F1476" i="2"/>
  <c r="F1475" i="2"/>
  <c r="F1474" i="2"/>
  <c r="F1468" i="2"/>
  <c r="F1467" i="2"/>
  <c r="F1466" i="2"/>
  <c r="F1465" i="2"/>
  <c r="F1464" i="2"/>
  <c r="F1463" i="2"/>
  <c r="F1462" i="2"/>
  <c r="F1461" i="2"/>
  <c r="F1460" i="2"/>
  <c r="F1459" i="2"/>
  <c r="F1458" i="2"/>
  <c r="F1457" i="2"/>
  <c r="F1456" i="2"/>
  <c r="F1455" i="2"/>
  <c r="F1454" i="2"/>
  <c r="F1453" i="2"/>
  <c r="F1452" i="2"/>
  <c r="F1451" i="2"/>
  <c r="F1448" i="2"/>
  <c r="F1424" i="2"/>
  <c r="F1423" i="2"/>
  <c r="C1421" i="2"/>
  <c r="C1422" i="2" s="1"/>
  <c r="F1422" i="2" s="1"/>
  <c r="C1420" i="2"/>
  <c r="F1420" i="2" s="1"/>
  <c r="C1419" i="2"/>
  <c r="F1419" i="2" s="1"/>
  <c r="C1418" i="2"/>
  <c r="F1418" i="2" s="1"/>
  <c r="C1417" i="2"/>
  <c r="F1417" i="2" s="1"/>
  <c r="C1412" i="2"/>
  <c r="C1413" i="2" s="1"/>
  <c r="F1413" i="2" s="1"/>
  <c r="F1411" i="2"/>
  <c r="F1410" i="2"/>
  <c r="C1409" i="2"/>
  <c r="F1409" i="2" s="1"/>
  <c r="F1408" i="2"/>
  <c r="C1407" i="2"/>
  <c r="F1407" i="2" s="1"/>
  <c r="C1406" i="2"/>
  <c r="C1400" i="2"/>
  <c r="F1400" i="2" s="1"/>
  <c r="C1393" i="2"/>
  <c r="F1393" i="2" s="1"/>
  <c r="F1392" i="2"/>
  <c r="C1385" i="2"/>
  <c r="F1385" i="2" s="1"/>
  <c r="F1384" i="2"/>
  <c r="C1377" i="2"/>
  <c r="F1377" i="2" s="1"/>
  <c r="F1376" i="2"/>
  <c r="C1368" i="2"/>
  <c r="F1368" i="2" s="1"/>
  <c r="F1367" i="2"/>
  <c r="C1359" i="2"/>
  <c r="F1359" i="2" s="1"/>
  <c r="F1358" i="2"/>
  <c r="B1357" i="2"/>
  <c r="H1339" i="2"/>
  <c r="J1338" i="2"/>
  <c r="F1337" i="2"/>
  <c r="I1336" i="2"/>
  <c r="H1336" i="2"/>
  <c r="F1336" i="2"/>
  <c r="F1335" i="2"/>
  <c r="F1334" i="2"/>
  <c r="E1333" i="2"/>
  <c r="F1333" i="2" s="1"/>
  <c r="J1327" i="2"/>
  <c r="L1327" i="2" s="1"/>
  <c r="C1327" i="2"/>
  <c r="F1327" i="2" s="1"/>
  <c r="K1326" i="2"/>
  <c r="J1326" i="2"/>
  <c r="I1326" i="2"/>
  <c r="E1326" i="2"/>
  <c r="C1326" i="2"/>
  <c r="L1325" i="2"/>
  <c r="L1324" i="2"/>
  <c r="C1320" i="2"/>
  <c r="F1320" i="2" s="1"/>
  <c r="J1319" i="2"/>
  <c r="I1319" i="2"/>
  <c r="C1319" i="2"/>
  <c r="F1319" i="2" s="1"/>
  <c r="L1318" i="2"/>
  <c r="I1316" i="2"/>
  <c r="L1316" i="2" s="1"/>
  <c r="C1310" i="2"/>
  <c r="F1310" i="2" s="1"/>
  <c r="J1309" i="2"/>
  <c r="I1309" i="2"/>
  <c r="F1309" i="2"/>
  <c r="I1306" i="2"/>
  <c r="L1306" i="2" s="1"/>
  <c r="L1295" i="2"/>
  <c r="J1294" i="2"/>
  <c r="L1294" i="2" s="1"/>
  <c r="L1292" i="2"/>
  <c r="J1291" i="2"/>
  <c r="I1291" i="2"/>
  <c r="I1290" i="2"/>
  <c r="F1287" i="2"/>
  <c r="F1286" i="2"/>
  <c r="F1285" i="2"/>
  <c r="F1281" i="2"/>
  <c r="F1280" i="2"/>
  <c r="F1276" i="2"/>
  <c r="F1275" i="2"/>
  <c r="F1274" i="2"/>
  <c r="E1272" i="2"/>
  <c r="F1272" i="2" s="1"/>
  <c r="F1270" i="2"/>
  <c r="F1269" i="2"/>
  <c r="F1268" i="2"/>
  <c r="F1260" i="2"/>
  <c r="F1259" i="2"/>
  <c r="F1258" i="2"/>
  <c r="I1257" i="2"/>
  <c r="J1257" i="2" s="1"/>
  <c r="F1257" i="2"/>
  <c r="F1256" i="2"/>
  <c r="F1255" i="2"/>
  <c r="F1254" i="2"/>
  <c r="E1282" i="2" s="1"/>
  <c r="F1282" i="2" s="1"/>
  <c r="I1250" i="2"/>
  <c r="F1249" i="2"/>
  <c r="F1248" i="2"/>
  <c r="F1242" i="2"/>
  <c r="E1271" i="2" s="1"/>
  <c r="F1271" i="2" s="1"/>
  <c r="F1241" i="2"/>
  <c r="F1238" i="2"/>
  <c r="F1233" i="2"/>
  <c r="F1232" i="2"/>
  <c r="C1226" i="2"/>
  <c r="C1228" i="2" s="1"/>
  <c r="F1228" i="2" s="1"/>
  <c r="E1222" i="2"/>
  <c r="F1222" i="2" s="1"/>
  <c r="F1216" i="2"/>
  <c r="F1215" i="2"/>
  <c r="E1273" i="2" s="1"/>
  <c r="F1273" i="2" s="1"/>
  <c r="E1214" i="2"/>
  <c r="F1214" i="2" s="1"/>
  <c r="C1213" i="2"/>
  <c r="F1208" i="2"/>
  <c r="F1207" i="2"/>
  <c r="F1206" i="2"/>
  <c r="F1205" i="2"/>
  <c r="F1203" i="2"/>
  <c r="F1202" i="2"/>
  <c r="F1201" i="2"/>
  <c r="F1200" i="2"/>
  <c r="F1199" i="2"/>
  <c r="F1189" i="2"/>
  <c r="E1190" i="2" s="1"/>
  <c r="F1190" i="2" s="1"/>
  <c r="F1188" i="2"/>
  <c r="F1184" i="2"/>
  <c r="F1183" i="2"/>
  <c r="C1182" i="2"/>
  <c r="F1182" i="2" s="1"/>
  <c r="F1181" i="2"/>
  <c r="E1180" i="2"/>
  <c r="F1180" i="2" s="1"/>
  <c r="F1174" i="2"/>
  <c r="F1173" i="2"/>
  <c r="E1172" i="2"/>
  <c r="F1172" i="2" s="1"/>
  <c r="F1171" i="2"/>
  <c r="F1170" i="2"/>
  <c r="F1167" i="2"/>
  <c r="F1166" i="2"/>
  <c r="J1164" i="2"/>
  <c r="J1165" i="2" s="1"/>
  <c r="J1167" i="2" s="1"/>
  <c r="I1163" i="2"/>
  <c r="J1163" i="2" s="1"/>
  <c r="F1163" i="2"/>
  <c r="F1160" i="2"/>
  <c r="F1159" i="2"/>
  <c r="F1158" i="2"/>
  <c r="F1157" i="2"/>
  <c r="F1156" i="2"/>
  <c r="F1155" i="2"/>
  <c r="F1154" i="2"/>
  <c r="F1153" i="2"/>
  <c r="I1148" i="2"/>
  <c r="I1149" i="2" s="1"/>
  <c r="F1148" i="2"/>
  <c r="I1146" i="2"/>
  <c r="D1139" i="2"/>
  <c r="E1138" i="2"/>
  <c r="C1138" i="2"/>
  <c r="A1138" i="2"/>
  <c r="A1137" i="2"/>
  <c r="C1136" i="2"/>
  <c r="F1136" i="2" s="1"/>
  <c r="A1135" i="2"/>
  <c r="C1134" i="2"/>
  <c r="B1134" i="2" s="1"/>
  <c r="B1133" i="2"/>
  <c r="D1130" i="2"/>
  <c r="C1129" i="2"/>
  <c r="A1129" i="2"/>
  <c r="A1128" i="2"/>
  <c r="C1127" i="2"/>
  <c r="F1127" i="2" s="1"/>
  <c r="A1126" i="2"/>
  <c r="C1125" i="2"/>
  <c r="B1125" i="2" s="1"/>
  <c r="B1124" i="2"/>
  <c r="D1122" i="2"/>
  <c r="C1121" i="2"/>
  <c r="A1121" i="2"/>
  <c r="A1120" i="2"/>
  <c r="C1119" i="2"/>
  <c r="F1119" i="2" s="1"/>
  <c r="A1118" i="2"/>
  <c r="C1117" i="2"/>
  <c r="B1117" i="2" s="1"/>
  <c r="B1116" i="2"/>
  <c r="K1113" i="2"/>
  <c r="D1113" i="2"/>
  <c r="J1112" i="2"/>
  <c r="M1112" i="2" s="1"/>
  <c r="H1112" i="2"/>
  <c r="E1112" i="2"/>
  <c r="C1112" i="2"/>
  <c r="A1112" i="2"/>
  <c r="H1111" i="2"/>
  <c r="A1111" i="2"/>
  <c r="H1110" i="2"/>
  <c r="A1110" i="2"/>
  <c r="M1109" i="2"/>
  <c r="I1109" i="2"/>
  <c r="C1109" i="2"/>
  <c r="B1109" i="2" s="1"/>
  <c r="I1108" i="2"/>
  <c r="B1108" i="2"/>
  <c r="K1105" i="2"/>
  <c r="D1105" i="2"/>
  <c r="M1104" i="2"/>
  <c r="H1104" i="2"/>
  <c r="E1104" i="2"/>
  <c r="C1104" i="2"/>
  <c r="A1104" i="2"/>
  <c r="H1103" i="2"/>
  <c r="A1103" i="2"/>
  <c r="J1102" i="2"/>
  <c r="M1102" i="2" s="1"/>
  <c r="C1102" i="2"/>
  <c r="F1102" i="2" s="1"/>
  <c r="H1101" i="2"/>
  <c r="A1101" i="2"/>
  <c r="M1100" i="2"/>
  <c r="I1100" i="2"/>
  <c r="C1100" i="2"/>
  <c r="B1100" i="2" s="1"/>
  <c r="I1099" i="2"/>
  <c r="B1099" i="2"/>
  <c r="K1097" i="2"/>
  <c r="D1097" i="2"/>
  <c r="J1096" i="2"/>
  <c r="M1096" i="2" s="1"/>
  <c r="H1096" i="2"/>
  <c r="E1096" i="2"/>
  <c r="C1096" i="2"/>
  <c r="A1096" i="2"/>
  <c r="H1095" i="2"/>
  <c r="A1095" i="2"/>
  <c r="J1094" i="2"/>
  <c r="M1094" i="2" s="1"/>
  <c r="C1094" i="2"/>
  <c r="F1094" i="2" s="1"/>
  <c r="H1093" i="2"/>
  <c r="A1093" i="2"/>
  <c r="M1092" i="2"/>
  <c r="I1092" i="2"/>
  <c r="C1092" i="2"/>
  <c r="B1092" i="2" s="1"/>
  <c r="I1091" i="2"/>
  <c r="B1091" i="2"/>
  <c r="K1089" i="2"/>
  <c r="D1089" i="2"/>
  <c r="J1088" i="2"/>
  <c r="M1088" i="2" s="1"/>
  <c r="H1088" i="2"/>
  <c r="E1088" i="2"/>
  <c r="C1088" i="2"/>
  <c r="A1088" i="2"/>
  <c r="H1087" i="2"/>
  <c r="A1087" i="2"/>
  <c r="J1086" i="2"/>
  <c r="M1086" i="2" s="1"/>
  <c r="C1086" i="2"/>
  <c r="F1086" i="2" s="1"/>
  <c r="H1085" i="2"/>
  <c r="A1085" i="2"/>
  <c r="M1084" i="2"/>
  <c r="I1084" i="2"/>
  <c r="C1084" i="2"/>
  <c r="B1084" i="2" s="1"/>
  <c r="I1083" i="2"/>
  <c r="B1083" i="2"/>
  <c r="K1080" i="2"/>
  <c r="D1080" i="2"/>
  <c r="M1079" i="2"/>
  <c r="H1079" i="2"/>
  <c r="E1079" i="2"/>
  <c r="C1079" i="2"/>
  <c r="A1079" i="2"/>
  <c r="H1078" i="2"/>
  <c r="A1078" i="2"/>
  <c r="J1077" i="2"/>
  <c r="M1077" i="2" s="1"/>
  <c r="C1077" i="2"/>
  <c r="F1077" i="2" s="1"/>
  <c r="H1076" i="2"/>
  <c r="A1076" i="2"/>
  <c r="M1075" i="2"/>
  <c r="I1075" i="2"/>
  <c r="C1075" i="2"/>
  <c r="I1074" i="2"/>
  <c r="B1074" i="2"/>
  <c r="K1071" i="2"/>
  <c r="D1071" i="2"/>
  <c r="M1070" i="2"/>
  <c r="H1070" i="2"/>
  <c r="C1070" i="2"/>
  <c r="A1070" i="2"/>
  <c r="H1069" i="2"/>
  <c r="A1069" i="2"/>
  <c r="J1068" i="2"/>
  <c r="M1068" i="2" s="1"/>
  <c r="C1068" i="2"/>
  <c r="F1068" i="2" s="1"/>
  <c r="H1067" i="2"/>
  <c r="A1067" i="2"/>
  <c r="M1066" i="2"/>
  <c r="I1066" i="2"/>
  <c r="C1066" i="2"/>
  <c r="I1065" i="2"/>
  <c r="B1065" i="2"/>
  <c r="K1063" i="2"/>
  <c r="D1063" i="2"/>
  <c r="M1062" i="2"/>
  <c r="H1062" i="2"/>
  <c r="E1062" i="2"/>
  <c r="C1062" i="2"/>
  <c r="A1062" i="2"/>
  <c r="H1061" i="2"/>
  <c r="A1061" i="2"/>
  <c r="H1060" i="2"/>
  <c r="A1060" i="2"/>
  <c r="M1059" i="2"/>
  <c r="I1059" i="2"/>
  <c r="C1059" i="2"/>
  <c r="I1058" i="2"/>
  <c r="B1058" i="2"/>
  <c r="K1056" i="2"/>
  <c r="D1056" i="2"/>
  <c r="M1055" i="2"/>
  <c r="H1055" i="2"/>
  <c r="E1055" i="2"/>
  <c r="C1055" i="2"/>
  <c r="A1055" i="2"/>
  <c r="H1054" i="2"/>
  <c r="A1054" i="2"/>
  <c r="H1053" i="2"/>
  <c r="A1053" i="2"/>
  <c r="M1052" i="2"/>
  <c r="I1052" i="2"/>
  <c r="C1052" i="2"/>
  <c r="B1052" i="2" s="1"/>
  <c r="I1051" i="2"/>
  <c r="B1051" i="2"/>
  <c r="K1049" i="2"/>
  <c r="D1049" i="2"/>
  <c r="M1048" i="2"/>
  <c r="H1048" i="2"/>
  <c r="F1048" i="2"/>
  <c r="A1048" i="2"/>
  <c r="H1047" i="2"/>
  <c r="A1047" i="2"/>
  <c r="H1046" i="2"/>
  <c r="A1046" i="2"/>
  <c r="M1045" i="2"/>
  <c r="I1045" i="2"/>
  <c r="C1045" i="2"/>
  <c r="B1045" i="2" s="1"/>
  <c r="I1044" i="2"/>
  <c r="B1044" i="2"/>
  <c r="I1038" i="2"/>
  <c r="L1037" i="2"/>
  <c r="L1038" i="2" s="1"/>
  <c r="L1039" i="2" s="1"/>
  <c r="J1037" i="2"/>
  <c r="J1038" i="2" s="1"/>
  <c r="F1037" i="2"/>
  <c r="E1036" i="2"/>
  <c r="F1036" i="2" s="1"/>
  <c r="F1035" i="2"/>
  <c r="E1034" i="2"/>
  <c r="F1034" i="2" s="1"/>
  <c r="F1033" i="2"/>
  <c r="F1026" i="2"/>
  <c r="F1025" i="2"/>
  <c r="F1024" i="2"/>
  <c r="F1016" i="2"/>
  <c r="F1015" i="2"/>
  <c r="F1013" i="2"/>
  <c r="F1012" i="2"/>
  <c r="F1011" i="2"/>
  <c r="H1010" i="2"/>
  <c r="F1010" i="2"/>
  <c r="F1009" i="2"/>
  <c r="F1008" i="2"/>
  <c r="F1007" i="2"/>
  <c r="F1006" i="2"/>
  <c r="F1005" i="2"/>
  <c r="F1004" i="2"/>
  <c r="F1000" i="2"/>
  <c r="F999" i="2"/>
  <c r="I998" i="2"/>
  <c r="F998" i="2"/>
  <c r="I997" i="2"/>
  <c r="F997" i="2"/>
  <c r="F996" i="2"/>
  <c r="F992" i="2"/>
  <c r="H982" i="2"/>
  <c r="E982" i="2"/>
  <c r="F982" i="2" s="1"/>
  <c r="B982" i="2"/>
  <c r="I981" i="2"/>
  <c r="F981" i="2"/>
  <c r="C970" i="2"/>
  <c r="C969" i="2"/>
  <c r="C968" i="2"/>
  <c r="C967" i="2"/>
  <c r="C966" i="2"/>
  <c r="F962" i="2"/>
  <c r="F961" i="2"/>
  <c r="F944" i="2"/>
  <c r="F945" i="2" s="1"/>
  <c r="I941" i="2"/>
  <c r="F941" i="2"/>
  <c r="E942" i="2" s="1"/>
  <c r="F942" i="2" s="1"/>
  <c r="F940" i="2"/>
  <c r="I939" i="2"/>
  <c r="F939" i="2"/>
  <c r="L929" i="2"/>
  <c r="I929" i="2"/>
  <c r="H929" i="2"/>
  <c r="F929" i="2"/>
  <c r="F928" i="2"/>
  <c r="F927" i="2"/>
  <c r="B920" i="2"/>
  <c r="F919" i="2"/>
  <c r="B912" i="2"/>
  <c r="F911" i="2"/>
  <c r="B904" i="2"/>
  <c r="F903" i="2"/>
  <c r="F898" i="2"/>
  <c r="B896" i="2"/>
  <c r="I895" i="2"/>
  <c r="F895" i="2"/>
  <c r="E888" i="2"/>
  <c r="F888" i="2" s="1"/>
  <c r="E880" i="2"/>
  <c r="F880" i="2" s="1"/>
  <c r="F877" i="2"/>
  <c r="B874" i="2"/>
  <c r="B871" i="2"/>
  <c r="F866" i="2"/>
  <c r="F863" i="2"/>
  <c r="J859" i="2"/>
  <c r="F853" i="2"/>
  <c r="F850" i="2"/>
  <c r="F844" i="2"/>
  <c r="I842" i="2"/>
  <c r="F841" i="2"/>
  <c r="F837" i="2"/>
  <c r="I835" i="2"/>
  <c r="F834" i="2"/>
  <c r="F828" i="2"/>
  <c r="I827" i="2"/>
  <c r="H827" i="2"/>
  <c r="F825" i="2"/>
  <c r="H821" i="2"/>
  <c r="C820" i="2"/>
  <c r="K814" i="2"/>
  <c r="K816" i="2" s="1"/>
  <c r="K808" i="2"/>
  <c r="F797" i="2"/>
  <c r="F796" i="2"/>
  <c r="F794" i="2"/>
  <c r="F791" i="2"/>
  <c r="J785" i="2"/>
  <c r="J784" i="2"/>
  <c r="F784" i="2"/>
  <c r="J783" i="2"/>
  <c r="F783" i="2"/>
  <c r="F780" i="2"/>
  <c r="I776" i="2"/>
  <c r="F773" i="2"/>
  <c r="F772" i="2"/>
  <c r="F771" i="2"/>
  <c r="F770" i="2"/>
  <c r="F768" i="2"/>
  <c r="F767" i="2"/>
  <c r="F766" i="2"/>
  <c r="I757" i="2"/>
  <c r="F753" i="2"/>
  <c r="H752" i="2"/>
  <c r="H753" i="2" s="1"/>
  <c r="F752" i="2"/>
  <c r="F751" i="2"/>
  <c r="F748" i="2"/>
  <c r="F747" i="2"/>
  <c r="F721" i="2"/>
  <c r="F720" i="2"/>
  <c r="J718" i="2"/>
  <c r="F717" i="2"/>
  <c r="E712" i="2"/>
  <c r="F712" i="2" s="1"/>
  <c r="C710" i="2"/>
  <c r="F709" i="2"/>
  <c r="E705" i="2"/>
  <c r="F705" i="2" s="1"/>
  <c r="C703" i="2"/>
  <c r="F702" i="2"/>
  <c r="E698" i="2"/>
  <c r="F698" i="2" s="1"/>
  <c r="C696" i="2"/>
  <c r="F695" i="2"/>
  <c r="E691" i="2"/>
  <c r="F691" i="2" s="1"/>
  <c r="C689" i="2"/>
  <c r="F688" i="2"/>
  <c r="E684" i="2"/>
  <c r="F684" i="2" s="1"/>
  <c r="C682" i="2"/>
  <c r="F681" i="2"/>
  <c r="E677" i="2"/>
  <c r="F677" i="2" s="1"/>
  <c r="C675" i="2"/>
  <c r="F674" i="2"/>
  <c r="E670" i="2"/>
  <c r="F670" i="2" s="1"/>
  <c r="C668" i="2"/>
  <c r="F667" i="2"/>
  <c r="J655" i="2"/>
  <c r="H655" i="2"/>
  <c r="E655" i="2"/>
  <c r="F655" i="2" s="1"/>
  <c r="C653" i="2"/>
  <c r="F652" i="2"/>
  <c r="I643" i="2"/>
  <c r="J643" i="2" s="1"/>
  <c r="C643" i="2"/>
  <c r="F643" i="2" s="1"/>
  <c r="C642" i="2"/>
  <c r="C641" i="2"/>
  <c r="C640" i="2"/>
  <c r="C639" i="2"/>
  <c r="F639" i="2" s="1"/>
  <c r="C638" i="2"/>
  <c r="C637" i="2"/>
  <c r="H636" i="2"/>
  <c r="C636" i="2"/>
  <c r="I626" i="2"/>
  <c r="F624" i="2"/>
  <c r="F623" i="2"/>
  <c r="F622" i="2"/>
  <c r="F621" i="2"/>
  <c r="F612" i="2"/>
  <c r="F611" i="2"/>
  <c r="F610" i="2"/>
  <c r="F609" i="2"/>
  <c r="L603" i="2"/>
  <c r="K603" i="2"/>
  <c r="F603" i="2"/>
  <c r="F602" i="2"/>
  <c r="F601" i="2"/>
  <c r="F600" i="2"/>
  <c r="F599" i="2"/>
  <c r="H598" i="2"/>
  <c r="F598" i="2"/>
  <c r="F597" i="2"/>
  <c r="F596" i="2"/>
  <c r="F591" i="2"/>
  <c r="F578" i="2"/>
  <c r="F568" i="2"/>
  <c r="E561" i="2"/>
  <c r="F561" i="2" s="1"/>
  <c r="E560" i="2"/>
  <c r="F560" i="2" s="1"/>
  <c r="F532" i="2"/>
  <c r="F533" i="2" s="1"/>
  <c r="F538" i="2" s="1"/>
  <c r="E548" i="2" s="1"/>
  <c r="F548" i="2" s="1"/>
  <c r="C525" i="2"/>
  <c r="F524" i="2"/>
  <c r="F520" i="2"/>
  <c r="I518" i="2"/>
  <c r="I519" i="2" s="1"/>
  <c r="F518" i="2"/>
  <c r="F513" i="2"/>
  <c r="F512" i="2"/>
  <c r="F511" i="2"/>
  <c r="F508" i="2"/>
  <c r="F500" i="2"/>
  <c r="F499" i="2"/>
  <c r="F497" i="2"/>
  <c r="C491" i="2"/>
  <c r="F490" i="2"/>
  <c r="C486" i="2"/>
  <c r="F486" i="2" s="1"/>
  <c r="C485" i="2"/>
  <c r="F485" i="2" s="1"/>
  <c r="C484" i="2"/>
  <c r="F484" i="2" s="1"/>
  <c r="C483" i="2"/>
  <c r="F483" i="2" s="1"/>
  <c r="F476" i="2"/>
  <c r="F467" i="2"/>
  <c r="E466" i="2"/>
  <c r="F466" i="2" s="1"/>
  <c r="F463" i="2"/>
  <c r="F451" i="2"/>
  <c r="I440" i="2"/>
  <c r="I444" i="2" s="1"/>
  <c r="E437" i="2"/>
  <c r="F437" i="2" s="1"/>
  <c r="E427" i="2"/>
  <c r="E413" i="2" s="1"/>
  <c r="F413" i="2" s="1"/>
  <c r="I426" i="2"/>
  <c r="I430" i="2" s="1"/>
  <c r="E423" i="2"/>
  <c r="F416" i="2"/>
  <c r="I412" i="2"/>
  <c r="I417" i="2" s="1"/>
  <c r="K398" i="2"/>
  <c r="I398" i="2"/>
  <c r="I402" i="2" s="1"/>
  <c r="E395" i="2"/>
  <c r="F395" i="2" s="1"/>
  <c r="F355" i="2"/>
  <c r="E349" i="2"/>
  <c r="F349" i="2" s="1"/>
  <c r="E348" i="2"/>
  <c r="F348" i="2" s="1"/>
  <c r="E341" i="2"/>
  <c r="F341" i="2" s="1"/>
  <c r="E340" i="2"/>
  <c r="F340" i="2" s="1"/>
  <c r="F339" i="2"/>
  <c r="E333" i="2"/>
  <c r="F333" i="2" s="1"/>
  <c r="F331" i="2"/>
  <c r="E325" i="2"/>
  <c r="F325" i="2" s="1"/>
  <c r="F323" i="2"/>
  <c r="E317" i="2"/>
  <c r="F317" i="2" s="1"/>
  <c r="F316" i="2"/>
  <c r="E310" i="2"/>
  <c r="F310" i="2" s="1"/>
  <c r="F309" i="2"/>
  <c r="E300" i="2"/>
  <c r="C300" i="2"/>
  <c r="E295" i="2"/>
  <c r="F295" i="2" s="1"/>
  <c r="E290" i="2"/>
  <c r="F290" i="2" s="1"/>
  <c r="F289" i="2"/>
  <c r="F284" i="2"/>
  <c r="E283" i="2"/>
  <c r="F283" i="2" s="1"/>
  <c r="E277" i="2"/>
  <c r="F277" i="2" s="1"/>
  <c r="F276" i="2"/>
  <c r="E255" i="2"/>
  <c r="F255" i="2" s="1"/>
  <c r="F231" i="2"/>
  <c r="F230" i="2"/>
  <c r="F229" i="2"/>
  <c r="F228" i="2"/>
  <c r="F227" i="2"/>
  <c r="F212" i="2"/>
  <c r="E142" i="2"/>
  <c r="F142" i="2" s="1"/>
  <c r="E141" i="2"/>
  <c r="F141" i="2" s="1"/>
  <c r="E140" i="2"/>
  <c r="F140" i="2" s="1"/>
  <c r="E139" i="2"/>
  <c r="F139" i="2" s="1"/>
  <c r="J131" i="2"/>
  <c r="K131" i="2" s="1"/>
  <c r="H128" i="2"/>
  <c r="F128" i="2"/>
  <c r="C123" i="2"/>
  <c r="C111" i="2"/>
  <c r="F110" i="2"/>
  <c r="C105" i="2"/>
  <c r="F104" i="2"/>
  <c r="E103" i="2"/>
  <c r="F103" i="2" s="1"/>
  <c r="C99" i="2"/>
  <c r="F98" i="2"/>
  <c r="E97" i="2"/>
  <c r="F97" i="2" s="1"/>
  <c r="C91" i="2"/>
  <c r="C85" i="2"/>
  <c r="I81" i="2"/>
  <c r="C79" i="2"/>
  <c r="C73" i="2"/>
  <c r="C67" i="2"/>
  <c r="E57" i="2"/>
  <c r="C57" i="2"/>
  <c r="E56" i="2"/>
  <c r="C56" i="2"/>
  <c r="E55" i="2"/>
  <c r="C55" i="2"/>
  <c r="E54" i="2"/>
  <c r="C54" i="2"/>
  <c r="E50" i="2"/>
  <c r="C50" i="2"/>
  <c r="E49" i="2"/>
  <c r="C49" i="2"/>
  <c r="E48" i="2"/>
  <c r="C48" i="2"/>
  <c r="E47" i="2"/>
  <c r="C47" i="2"/>
  <c r="B45" i="2"/>
  <c r="F44" i="2"/>
  <c r="F43" i="2"/>
  <c r="E640" i="2" s="1"/>
  <c r="B43" i="2"/>
  <c r="F42" i="2"/>
  <c r="E130" i="2" s="1"/>
  <c r="F130" i="2" s="1"/>
  <c r="B42" i="2"/>
  <c r="F41" i="2"/>
  <c r="E525" i="2" s="1"/>
  <c r="F525" i="2" s="1"/>
  <c r="B41" i="2"/>
  <c r="F40" i="2"/>
  <c r="B40" i="2"/>
  <c r="F39" i="2"/>
  <c r="B39" i="2"/>
  <c r="F38" i="2"/>
  <c r="B38" i="2"/>
  <c r="F37" i="2"/>
  <c r="B37" i="2"/>
  <c r="F36" i="2"/>
  <c r="E143" i="2" s="1"/>
  <c r="F143" i="2" s="1"/>
  <c r="B36" i="2"/>
  <c r="C35" i="2"/>
  <c r="E35" i="2" s="1"/>
  <c r="B35" i="2"/>
  <c r="F34" i="2"/>
  <c r="F33" i="2"/>
  <c r="F32" i="2"/>
  <c r="F31" i="2"/>
  <c r="F30" i="2"/>
  <c r="F29" i="2"/>
  <c r="F28" i="2"/>
  <c r="E330" i="2" s="1"/>
  <c r="F330" i="2" s="1"/>
  <c r="F27" i="2"/>
  <c r="E450" i="2" s="1"/>
  <c r="F450" i="2" s="1"/>
  <c r="F26" i="2"/>
  <c r="E89" i="2" s="1"/>
  <c r="F89" i="2" s="1"/>
  <c r="F25" i="2"/>
  <c r="F24" i="2"/>
  <c r="E436" i="2" s="1"/>
  <c r="F436" i="2" s="1"/>
  <c r="F23" i="2"/>
  <c r="E510" i="2" s="1"/>
  <c r="F510" i="2" s="1"/>
  <c r="F22" i="2"/>
  <c r="E376" i="2" s="1"/>
  <c r="F376" i="2" s="1"/>
  <c r="F21" i="2"/>
  <c r="E386" i="2" s="1"/>
  <c r="F386" i="2" s="1"/>
  <c r="F20" i="2"/>
  <c r="E71" i="2" s="1"/>
  <c r="F71" i="2" s="1"/>
  <c r="J19" i="2"/>
  <c r="F19" i="2"/>
  <c r="E109" i="2" s="1"/>
  <c r="F109" i="2" s="1"/>
  <c r="F18" i="2"/>
  <c r="F17" i="2"/>
  <c r="F16" i="2"/>
  <c r="F15" i="2"/>
  <c r="E359" i="2" s="1"/>
  <c r="F359" i="2" s="1"/>
  <c r="F14" i="2"/>
  <c r="E493" i="2" s="1"/>
  <c r="F493" i="2" s="1"/>
  <c r="F13" i="2"/>
  <c r="E203" i="2" s="1"/>
  <c r="F203" i="2" s="1"/>
  <c r="F8" i="2"/>
  <c r="F1412" i="2" l="1"/>
  <c r="F963" i="2"/>
  <c r="K1291" i="2"/>
  <c r="L1291" i="2" s="1"/>
  <c r="M1292" i="2" s="1"/>
  <c r="N1292" i="2" s="1"/>
  <c r="F1326" i="2"/>
  <c r="J786" i="2"/>
  <c r="F1088" i="2"/>
  <c r="F1338" i="2"/>
  <c r="F1339" i="2" s="1"/>
  <c r="F1096" i="2"/>
  <c r="F1138" i="2"/>
  <c r="F1250" i="2"/>
  <c r="F1251" i="2" s="1"/>
  <c r="M1294" i="2"/>
  <c r="M1295" i="2" s="1"/>
  <c r="F1038" i="2"/>
  <c r="F1039" i="2" s="1"/>
  <c r="E133" i="2"/>
  <c r="F133" i="2" s="1"/>
  <c r="E1027" i="2"/>
  <c r="F1027" i="2" s="1"/>
  <c r="F1028" i="2" s="1"/>
  <c r="F1175" i="2"/>
  <c r="F1234" i="2"/>
  <c r="L1309" i="2"/>
  <c r="L1310" i="2" s="1"/>
  <c r="M1310" i="2" s="1"/>
  <c r="F1421" i="2"/>
  <c r="F1425" i="2" s="1"/>
  <c r="F1496" i="2"/>
  <c r="F1515" i="2"/>
  <c r="F49" i="2"/>
  <c r="F56" i="2"/>
  <c r="E72" i="2"/>
  <c r="F72" i="2" s="1"/>
  <c r="E84" i="2"/>
  <c r="F84" i="2" s="1"/>
  <c r="F604" i="2"/>
  <c r="F605" i="2" s="1"/>
  <c r="F943" i="2"/>
  <c r="F946" i="2" s="1"/>
  <c r="F1104" i="2"/>
  <c r="F1226" i="2"/>
  <c r="F1471" i="2"/>
  <c r="F54" i="2"/>
  <c r="F427" i="2"/>
  <c r="E930" i="2"/>
  <c r="F930" i="2" s="1"/>
  <c r="F931" i="2" s="1"/>
  <c r="F932" i="2" s="1"/>
  <c r="F1055" i="2"/>
  <c r="F1062" i="2"/>
  <c r="F1079" i="2"/>
  <c r="H1161" i="2"/>
  <c r="F1185" i="2"/>
  <c r="E1164" i="2" s="1"/>
  <c r="F1164" i="2" s="1"/>
  <c r="C1227" i="2"/>
  <c r="F1227" i="2" s="1"/>
  <c r="E1284" i="2" s="1"/>
  <c r="F1284" i="2" s="1"/>
  <c r="L1319" i="2"/>
  <c r="F487" i="2"/>
  <c r="E487" i="2" s="1"/>
  <c r="E491" i="2" s="1"/>
  <c r="F491" i="2" s="1"/>
  <c r="F492" i="2" s="1"/>
  <c r="F1161" i="2"/>
  <c r="F1277" i="2"/>
  <c r="E1283" i="2" s="1"/>
  <c r="F1283" i="2" s="1"/>
  <c r="F48" i="2"/>
  <c r="F55" i="2"/>
  <c r="E116" i="2"/>
  <c r="F116" i="2" s="1"/>
  <c r="B130" i="2"/>
  <c r="F300" i="2"/>
  <c r="E428" i="2"/>
  <c r="E414" i="2" s="1"/>
  <c r="F414" i="2" s="1"/>
  <c r="F537" i="2"/>
  <c r="E547" i="2" s="1"/>
  <c r="F547" i="2" s="1"/>
  <c r="F50" i="2"/>
  <c r="E65" i="2"/>
  <c r="F65" i="2" s="1"/>
  <c r="E90" i="2"/>
  <c r="F90" i="2" s="1"/>
  <c r="E519" i="2"/>
  <c r="F519" i="2" s="1"/>
  <c r="F521" i="2" s="1"/>
  <c r="L605" i="2"/>
  <c r="F1112" i="2"/>
  <c r="F509" i="2"/>
  <c r="H794" i="2"/>
  <c r="F1261" i="2"/>
  <c r="L1326" i="2"/>
  <c r="L1328" i="2" s="1"/>
  <c r="M1328" i="2" s="1"/>
  <c r="N1328" i="2" s="1"/>
  <c r="F1507" i="2"/>
  <c r="E324" i="2"/>
  <c r="F324" i="2" s="1"/>
  <c r="E77" i="2"/>
  <c r="F77" i="2" s="1"/>
  <c r="E138" i="2"/>
  <c r="F138" i="2" s="1"/>
  <c r="E803" i="2"/>
  <c r="F803" i="2" s="1"/>
  <c r="E465" i="2"/>
  <c r="F465" i="2" s="1"/>
  <c r="E441" i="2"/>
  <c r="F441" i="2" s="1"/>
  <c r="E638" i="2"/>
  <c r="F638" i="2" s="1"/>
  <c r="E399" i="2"/>
  <c r="F399" i="2" s="1"/>
  <c r="E453" i="2"/>
  <c r="F453" i="2" s="1"/>
  <c r="E556" i="2"/>
  <c r="F556" i="2" s="1"/>
  <c r="E269" i="2"/>
  <c r="F269" i="2" s="1"/>
  <c r="E181" i="2"/>
  <c r="F181" i="2" s="1"/>
  <c r="E246" i="2"/>
  <c r="F246" i="2" s="1"/>
  <c r="E159" i="2"/>
  <c r="F159" i="2" s="1"/>
  <c r="E192" i="2"/>
  <c r="F192" i="2" s="1"/>
  <c r="F62" i="2"/>
  <c r="E62" i="2" s="1"/>
  <c r="F35" i="2"/>
  <c r="E851" i="2" s="1"/>
  <c r="F851" i="2" s="1"/>
  <c r="E262" i="2"/>
  <c r="F262" i="2" s="1"/>
  <c r="E637" i="2"/>
  <c r="F637" i="2" s="1"/>
  <c r="E557" i="2"/>
  <c r="F557" i="2" s="1"/>
  <c r="E636" i="2"/>
  <c r="F636" i="2" s="1"/>
  <c r="E144" i="2"/>
  <c r="F144" i="2" s="1"/>
  <c r="E149" i="2"/>
  <c r="F149" i="2" s="1"/>
  <c r="F423" i="2"/>
  <c r="E409" i="2"/>
  <c r="F409" i="2" s="1"/>
  <c r="E369" i="2"/>
  <c r="F369" i="2" s="1"/>
  <c r="E362" i="2"/>
  <c r="F362" i="2" s="1"/>
  <c r="F871" i="2"/>
  <c r="F60" i="2"/>
  <c r="E60" i="2" s="1"/>
  <c r="E394" i="2"/>
  <c r="F394" i="2" s="1"/>
  <c r="B712" i="2"/>
  <c r="B698" i="2"/>
  <c r="B684" i="2"/>
  <c r="B670" i="2"/>
  <c r="B655" i="2"/>
  <c r="B691" i="2"/>
  <c r="F790" i="2"/>
  <c r="N789" i="2" s="1"/>
  <c r="F884" i="2"/>
  <c r="E885" i="2" s="1"/>
  <c r="F885" i="2" s="1"/>
  <c r="F47" i="2"/>
  <c r="E387" i="2"/>
  <c r="F387" i="2" s="1"/>
  <c r="E1085" i="2" s="1"/>
  <c r="F1085" i="2" s="1"/>
  <c r="B705" i="2"/>
  <c r="B973" i="2"/>
  <c r="E953" i="2"/>
  <c r="F953" i="2" s="1"/>
  <c r="E973" i="2"/>
  <c r="F973" i="2" s="1"/>
  <c r="E642" i="2"/>
  <c r="F642" i="2" s="1"/>
  <c r="E626" i="2"/>
  <c r="F626" i="2" s="1"/>
  <c r="E614" i="2"/>
  <c r="F614" i="2" s="1"/>
  <c r="E615" i="2"/>
  <c r="F615" i="2" s="1"/>
  <c r="J612" i="2"/>
  <c r="E974" i="2"/>
  <c r="F974" i="2" s="1"/>
  <c r="E975" i="2" s="1"/>
  <c r="F975" i="2" s="1"/>
  <c r="E957" i="2"/>
  <c r="F957" i="2" s="1"/>
  <c r="E955" i="2"/>
  <c r="F955" i="2" s="1"/>
  <c r="E958" i="2"/>
  <c r="F958" i="2" s="1"/>
  <c r="E983" i="2"/>
  <c r="F983" i="2" s="1"/>
  <c r="E804" i="2"/>
  <c r="F804" i="2" s="1"/>
  <c r="E805" i="2" s="1"/>
  <c r="F805" i="2" s="1"/>
  <c r="B983" i="2"/>
  <c r="B974" i="2"/>
  <c r="E795" i="2"/>
  <c r="F795" i="2" s="1"/>
  <c r="E641" i="2"/>
  <c r="F641" i="2" s="1"/>
  <c r="E400" i="2"/>
  <c r="F400" i="2" s="1"/>
  <c r="E956" i="2"/>
  <c r="F956" i="2" s="1"/>
  <c r="E442" i="2"/>
  <c r="F442" i="2" s="1"/>
  <c r="E429" i="2"/>
  <c r="E270" i="2"/>
  <c r="F270" i="2" s="1"/>
  <c r="E257" i="2"/>
  <c r="F257" i="2" s="1"/>
  <c r="E240" i="2"/>
  <c r="F240" i="2" s="1"/>
  <c r="E222" i="2"/>
  <c r="F222" i="2" s="1"/>
  <c r="B133" i="2"/>
  <c r="E121" i="2"/>
  <c r="F121" i="2" s="1"/>
  <c r="E66" i="2"/>
  <c r="F66" i="2" s="1"/>
  <c r="E78" i="2"/>
  <c r="F78" i="2" s="1"/>
  <c r="E263" i="2"/>
  <c r="F263" i="2" s="1"/>
  <c r="F526" i="2"/>
  <c r="E627" i="2"/>
  <c r="F627" i="2" s="1"/>
  <c r="E382" i="2"/>
  <c r="F382" i="2" s="1"/>
  <c r="E388" i="2"/>
  <c r="F388" i="2" s="1"/>
  <c r="E377" i="2"/>
  <c r="F377" i="2" s="1"/>
  <c r="E914" i="2"/>
  <c r="F914" i="2" s="1"/>
  <c r="B906" i="2"/>
  <c r="E922" i="2"/>
  <c r="F922" i="2" s="1"/>
  <c r="E954" i="2"/>
  <c r="F954" i="2" s="1"/>
  <c r="B922" i="2"/>
  <c r="B914" i="2"/>
  <c r="E906" i="2"/>
  <c r="F906" i="2" s="1"/>
  <c r="B131" i="2"/>
  <c r="E146" i="2"/>
  <c r="F146" i="2" s="1"/>
  <c r="E1109" i="2"/>
  <c r="E1100" i="2"/>
  <c r="E1092" i="2"/>
  <c r="E1052" i="2"/>
  <c r="E1084" i="2"/>
  <c r="E1075" i="2"/>
  <c r="F1075" i="2" s="1"/>
  <c r="F640" i="2"/>
  <c r="E496" i="2"/>
  <c r="F496" i="2" s="1"/>
  <c r="E238" i="2"/>
  <c r="F238" i="2" s="1"/>
  <c r="E220" i="2"/>
  <c r="F220" i="2" s="1"/>
  <c r="E282" i="2"/>
  <c r="F282" i="2" s="1"/>
  <c r="E275" i="2"/>
  <c r="F275" i="2" s="1"/>
  <c r="E354" i="2"/>
  <c r="F354" i="2" s="1"/>
  <c r="E338" i="2"/>
  <c r="F338" i="2" s="1"/>
  <c r="E322" i="2"/>
  <c r="F322" i="2" s="1"/>
  <c r="E315" i="2"/>
  <c r="F315" i="2" s="1"/>
  <c r="E308" i="2"/>
  <c r="F308" i="2" s="1"/>
  <c r="E864" i="2"/>
  <c r="F864" i="2" s="1"/>
  <c r="E865" i="2" s="1"/>
  <c r="F865" i="2" s="1"/>
  <c r="E826" i="2"/>
  <c r="F826" i="2" s="1"/>
  <c r="E827" i="2" s="1"/>
  <c r="F827" i="2" s="1"/>
  <c r="E710" i="2"/>
  <c r="F710" i="2" s="1"/>
  <c r="E711" i="2" s="1"/>
  <c r="F711" i="2" s="1"/>
  <c r="E912" i="2"/>
  <c r="F912" i="2" s="1"/>
  <c r="E913" i="2" s="1"/>
  <c r="F913" i="2" s="1"/>
  <c r="E769" i="2"/>
  <c r="F769" i="2" s="1"/>
  <c r="F774" i="2" s="1"/>
  <c r="F775" i="2" s="1"/>
  <c r="B129" i="2"/>
  <c r="B132" i="2"/>
  <c r="E147" i="2"/>
  <c r="F147" i="2" s="1"/>
  <c r="E248" i="2"/>
  <c r="F248" i="2" s="1"/>
  <c r="E401" i="2"/>
  <c r="F401" i="2" s="1"/>
  <c r="E443" i="2"/>
  <c r="F443" i="2" s="1"/>
  <c r="E422" i="2"/>
  <c r="E83" i="2"/>
  <c r="F83" i="2" s="1"/>
  <c r="F57" i="2"/>
  <c r="E129" i="2"/>
  <c r="F129" i="2" s="1"/>
  <c r="E131" i="2"/>
  <c r="F131" i="2" s="1"/>
  <c r="E132" i="2"/>
  <c r="F132" i="2" s="1"/>
  <c r="E145" i="2"/>
  <c r="F145" i="2" s="1"/>
  <c r="E148" i="2"/>
  <c r="F148" i="2" s="1"/>
  <c r="E170" i="2"/>
  <c r="F170" i="2" s="1"/>
  <c r="E239" i="2"/>
  <c r="F239" i="2" s="1"/>
  <c r="E347" i="2"/>
  <c r="F347" i="2" s="1"/>
  <c r="E360" i="2"/>
  <c r="F360" i="2" s="1"/>
  <c r="F361" i="2" s="1"/>
  <c r="E367" i="2"/>
  <c r="F367" i="2" s="1"/>
  <c r="E475" i="2"/>
  <c r="F475" i="2" s="1"/>
  <c r="F540" i="2"/>
  <c r="E550" i="2" s="1"/>
  <c r="F550" i="2" s="1"/>
  <c r="F536" i="2"/>
  <c r="E546" i="2" s="1"/>
  <c r="F546" i="2" s="1"/>
  <c r="E1121" i="2" s="1"/>
  <c r="F1121" i="2" s="1"/>
  <c r="F541" i="2"/>
  <c r="E551" i="2" s="1"/>
  <c r="F551" i="2" s="1"/>
  <c r="F535" i="2"/>
  <c r="E545" i="2" s="1"/>
  <c r="F545" i="2" s="1"/>
  <c r="F539" i="2"/>
  <c r="E549" i="2" s="1"/>
  <c r="F549" i="2" s="1"/>
  <c r="F534" i="2"/>
  <c r="E544" i="2" s="1"/>
  <c r="F544" i="2" s="1"/>
  <c r="B677" i="2"/>
  <c r="F867" i="2"/>
  <c r="F868" i="2" s="1"/>
  <c r="B1066" i="2"/>
  <c r="E1045" i="2"/>
  <c r="E1066" i="2"/>
  <c r="L1320" i="2"/>
  <c r="M1320" i="2" s="1"/>
  <c r="E984" i="2"/>
  <c r="F984" i="2" s="1"/>
  <c r="E1059" i="2"/>
  <c r="F1059" i="2" s="1"/>
  <c r="B1075" i="2"/>
  <c r="F1191" i="2"/>
  <c r="B1059" i="2"/>
  <c r="F1229" i="2"/>
  <c r="E254" i="2" l="1"/>
  <c r="F254" i="2" s="1"/>
  <c r="E1221" i="2"/>
  <c r="F1221" i="2" s="1"/>
  <c r="F1223" i="2" s="1"/>
  <c r="E494" i="2"/>
  <c r="F494" i="2" s="1"/>
  <c r="F58" i="2"/>
  <c r="E58" i="2" s="1"/>
  <c r="F1030" i="2"/>
  <c r="F1029" i="2"/>
  <c r="E1017" i="2" s="1"/>
  <c r="F1017" i="2" s="1"/>
  <c r="E920" i="2"/>
  <c r="F920" i="2" s="1"/>
  <c r="E668" i="2"/>
  <c r="F668" i="2" s="1"/>
  <c r="E669" i="2" s="1"/>
  <c r="F669" i="2" s="1"/>
  <c r="E886" i="2"/>
  <c r="F886" i="2" s="1"/>
  <c r="E887" i="2" s="1"/>
  <c r="F887" i="2" s="1"/>
  <c r="E749" i="2"/>
  <c r="F749" i="2" s="1"/>
  <c r="E750" i="2" s="1"/>
  <c r="F750" i="2" s="1"/>
  <c r="F754" i="2" s="1"/>
  <c r="E675" i="2"/>
  <c r="F675" i="2" s="1"/>
  <c r="E676" i="2" s="1"/>
  <c r="F676" i="2" s="1"/>
  <c r="F678" i="2" s="1"/>
  <c r="E653" i="2"/>
  <c r="F653" i="2" s="1"/>
  <c r="E654" i="2" s="1"/>
  <c r="F654" i="2" s="1"/>
  <c r="E682" i="2"/>
  <c r="F682" i="2" s="1"/>
  <c r="E683" i="2" s="1"/>
  <c r="F683" i="2" s="1"/>
  <c r="E781" i="2"/>
  <c r="F781" i="2" s="1"/>
  <c r="E782" i="2" s="1"/>
  <c r="F782" i="2" s="1"/>
  <c r="E842" i="2"/>
  <c r="F842" i="2" s="1"/>
  <c r="E843" i="2" s="1"/>
  <c r="F843" i="2" s="1"/>
  <c r="E904" i="2"/>
  <c r="F904" i="2" s="1"/>
  <c r="E905" i="2" s="1"/>
  <c r="F905" i="2" s="1"/>
  <c r="E878" i="2"/>
  <c r="F878" i="2" s="1"/>
  <c r="E879" i="2" s="1"/>
  <c r="F879" i="2" s="1"/>
  <c r="E835" i="2"/>
  <c r="F835" i="2" s="1"/>
  <c r="E836" i="2" s="1"/>
  <c r="F836" i="2" s="1"/>
  <c r="F838" i="2" s="1"/>
  <c r="F915" i="2"/>
  <c r="E703" i="2"/>
  <c r="F703" i="2" s="1"/>
  <c r="E704" i="2" s="1"/>
  <c r="F704" i="2" s="1"/>
  <c r="F706" i="2" s="1"/>
  <c r="E896" i="2"/>
  <c r="F896" i="2" s="1"/>
  <c r="E696" i="2"/>
  <c r="F696" i="2" s="1"/>
  <c r="E792" i="2"/>
  <c r="F792" i="2" s="1"/>
  <c r="E793" i="2" s="1"/>
  <c r="F793" i="2" s="1"/>
  <c r="F428" i="2"/>
  <c r="F1288" i="2"/>
  <c r="F51" i="2"/>
  <c r="E51" i="2" s="1"/>
  <c r="E67" i="2" s="1"/>
  <c r="F67" i="2" s="1"/>
  <c r="F68" i="2" s="1"/>
  <c r="E180" i="2" s="1"/>
  <c r="F806" i="2"/>
  <c r="F814" i="2" s="1"/>
  <c r="F363" i="2"/>
  <c r="F845" i="2"/>
  <c r="E616" i="2"/>
  <c r="F616" i="2" s="1"/>
  <c r="F617" i="2" s="1"/>
  <c r="F618" i="2" s="1"/>
  <c r="F150" i="2"/>
  <c r="F151" i="2" s="1"/>
  <c r="F1100" i="2"/>
  <c r="E122" i="2"/>
  <c r="F122" i="2" s="1"/>
  <c r="F123" i="2" s="1"/>
  <c r="F124" i="2" s="1"/>
  <c r="F644" i="2"/>
  <c r="F134" i="2"/>
  <c r="F135" i="2" s="1"/>
  <c r="E408" i="2"/>
  <c r="F408" i="2" s="1"/>
  <c r="F422" i="2"/>
  <c r="F1084" i="2"/>
  <c r="F1109" i="2"/>
  <c r="F976" i="2"/>
  <c r="F977" i="2" s="1"/>
  <c r="F978" i="2" s="1"/>
  <c r="E718" i="2"/>
  <c r="F718" i="2" s="1"/>
  <c r="E689" i="2"/>
  <c r="F689" i="2" s="1"/>
  <c r="F948" i="2"/>
  <c r="F947" i="2"/>
  <c r="F1052" i="2"/>
  <c r="F429" i="2"/>
  <c r="E415" i="2"/>
  <c r="F415" i="2" s="1"/>
  <c r="F959" i="2"/>
  <c r="F964" i="2" s="1"/>
  <c r="F965" i="2" s="1"/>
  <c r="F389" i="2"/>
  <c r="E1111" i="2"/>
  <c r="F1111" i="2" s="1"/>
  <c r="E1103" i="2"/>
  <c r="F1103" i="2" s="1"/>
  <c r="L1054" i="2"/>
  <c r="M1054" i="2" s="1"/>
  <c r="L1111" i="2"/>
  <c r="M1111" i="2" s="1"/>
  <c r="L1103" i="2"/>
  <c r="M1103" i="2" s="1"/>
  <c r="E1095" i="2"/>
  <c r="F1095" i="2" s="1"/>
  <c r="E1047" i="2"/>
  <c r="F1047" i="2" s="1"/>
  <c r="L1069" i="2"/>
  <c r="M1069" i="2" s="1"/>
  <c r="E1054" i="2"/>
  <c r="F1054" i="2" s="1"/>
  <c r="L1047" i="2"/>
  <c r="M1047" i="2" s="1"/>
  <c r="L1087" i="2"/>
  <c r="M1087" i="2" s="1"/>
  <c r="L1078" i="2"/>
  <c r="M1078" i="2" s="1"/>
  <c r="E1061" i="2"/>
  <c r="F1061" i="2" s="1"/>
  <c r="L1095" i="2"/>
  <c r="M1095" i="2" s="1"/>
  <c r="E1078" i="2"/>
  <c r="F1078" i="2" s="1"/>
  <c r="L1061" i="2"/>
  <c r="M1061" i="2" s="1"/>
  <c r="E1069" i="2"/>
  <c r="F1069" i="2" s="1"/>
  <c r="E1087" i="2"/>
  <c r="F1087" i="2" s="1"/>
  <c r="N791" i="2"/>
  <c r="S791" i="2" s="1"/>
  <c r="S792" i="2" s="1"/>
  <c r="N790" i="2"/>
  <c r="R791" i="2" s="1"/>
  <c r="N793" i="2"/>
  <c r="U791" i="2" s="1"/>
  <c r="U792" i="2" s="1"/>
  <c r="N792" i="2"/>
  <c r="T791" i="2" s="1"/>
  <c r="T792" i="2" s="1"/>
  <c r="F1045" i="2"/>
  <c r="H617" i="2"/>
  <c r="H618" i="2" s="1"/>
  <c r="E1137" i="2"/>
  <c r="F1137" i="2" s="1"/>
  <c r="E1128" i="2"/>
  <c r="F1128" i="2" s="1"/>
  <c r="E1120" i="2"/>
  <c r="F1120" i="2" s="1"/>
  <c r="F1192" i="2"/>
  <c r="E1213" i="2"/>
  <c r="F1213" i="2" s="1"/>
  <c r="F1217" i="2" s="1"/>
  <c r="F1218" i="2" s="1"/>
  <c r="E1204" i="2" s="1"/>
  <c r="F1204" i="2" s="1"/>
  <c r="F1209" i="2" s="1"/>
  <c r="F1210" i="2" s="1"/>
  <c r="E1165" i="2"/>
  <c r="F1165" i="2" s="1"/>
  <c r="F1168" i="2" s="1"/>
  <c r="F829" i="2"/>
  <c r="F1066" i="2"/>
  <c r="E852" i="2"/>
  <c r="F852" i="2" s="1"/>
  <c r="F854" i="2" s="1"/>
  <c r="F1092" i="2"/>
  <c r="F529" i="2"/>
  <c r="F528" i="2"/>
  <c r="F527" i="2"/>
  <c r="F985" i="2"/>
  <c r="E628" i="2"/>
  <c r="F628" i="2" s="1"/>
  <c r="F629" i="2" s="1"/>
  <c r="F889" i="2"/>
  <c r="E871" i="2"/>
  <c r="E874" i="2"/>
  <c r="F874" i="2" s="1"/>
  <c r="F713" i="2"/>
  <c r="F811" i="2" l="1"/>
  <c r="F812" i="2"/>
  <c r="F881" i="2"/>
  <c r="F820" i="2"/>
  <c r="F685" i="2"/>
  <c r="F785" i="2"/>
  <c r="F786" i="2" s="1"/>
  <c r="F787" i="2" s="1"/>
  <c r="F798" i="2"/>
  <c r="E111" i="2"/>
  <c r="F111" i="2" s="1"/>
  <c r="F112" i="2" s="1"/>
  <c r="E245" i="2" s="1"/>
  <c r="F245" i="2" s="1"/>
  <c r="E73" i="2"/>
  <c r="F73" i="2" s="1"/>
  <c r="F74" i="2" s="1"/>
  <c r="E1292" i="2" s="1"/>
  <c r="E91" i="2"/>
  <c r="F91" i="2" s="1"/>
  <c r="F92" i="2" s="1"/>
  <c r="E79" i="2"/>
  <c r="F79" i="2" s="1"/>
  <c r="F80" i="2" s="1"/>
  <c r="E921" i="2"/>
  <c r="F921" i="2" s="1"/>
  <c r="F923" i="2" s="1"/>
  <c r="E105" i="2"/>
  <c r="F105" i="2" s="1"/>
  <c r="F106" i="2" s="1"/>
  <c r="E99" i="2"/>
  <c r="F99" i="2" s="1"/>
  <c r="F100" i="2" s="1"/>
  <c r="E167" i="2" s="1"/>
  <c r="F167" i="2" s="1"/>
  <c r="F671" i="2"/>
  <c r="E697" i="2"/>
  <c r="F697" i="2" s="1"/>
  <c r="F699" i="2" s="1"/>
  <c r="F907" i="2"/>
  <c r="F908" i="2" s="1"/>
  <c r="V792" i="2"/>
  <c r="W792" i="2" s="1"/>
  <c r="W795" i="2" s="1"/>
  <c r="E85" i="2"/>
  <c r="F85" i="2" s="1"/>
  <c r="F86" i="2" s="1"/>
  <c r="F656" i="2"/>
  <c r="F663" i="2" s="1"/>
  <c r="E897" i="2"/>
  <c r="F897" i="2" s="1"/>
  <c r="F899" i="2" s="1"/>
  <c r="F818" i="2"/>
  <c r="F815" i="2"/>
  <c r="F816" i="2"/>
  <c r="F807" i="2"/>
  <c r="F809" i="2"/>
  <c r="F819" i="2"/>
  <c r="F813" i="2"/>
  <c r="F810" i="2"/>
  <c r="F821" i="2"/>
  <c r="F808" i="2"/>
  <c r="F817" i="2"/>
  <c r="E332" i="2"/>
  <c r="F332" i="2" s="1"/>
  <c r="E247" i="2"/>
  <c r="F247" i="2" s="1"/>
  <c r="E478" i="2"/>
  <c r="F478" i="2" s="1"/>
  <c r="E366" i="2"/>
  <c r="F366" i="2" s="1"/>
  <c r="F368" i="2" s="1"/>
  <c r="F370" i="2" s="1"/>
  <c r="E268" i="2"/>
  <c r="F268" i="2" s="1"/>
  <c r="E221" i="2"/>
  <c r="F221" i="2" s="1"/>
  <c r="E158" i="2"/>
  <c r="F158" i="2" s="1"/>
  <c r="F180" i="2"/>
  <c r="E191" i="2"/>
  <c r="F191" i="2" s="1"/>
  <c r="E237" i="2"/>
  <c r="F237" i="2" s="1"/>
  <c r="E202" i="2"/>
  <c r="F202" i="2" s="1"/>
  <c r="E169" i="2"/>
  <c r="F169" i="2" s="1"/>
  <c r="E256" i="2"/>
  <c r="F256" i="2" s="1"/>
  <c r="F857" i="2"/>
  <c r="F858" i="2"/>
  <c r="F856" i="2"/>
  <c r="F855" i="2"/>
  <c r="E1070" i="2"/>
  <c r="F1070" i="2" s="1"/>
  <c r="E690" i="2"/>
  <c r="F690" i="2" s="1"/>
  <c r="F692" i="2" s="1"/>
  <c r="F831" i="2"/>
  <c r="F830" i="2"/>
  <c r="V791" i="2"/>
  <c r="W791" i="2" s="1"/>
  <c r="W794" i="2" s="1"/>
  <c r="B791" i="2" s="1"/>
  <c r="E719" i="2"/>
  <c r="F719" i="2" s="1"/>
  <c r="F722" i="2" s="1"/>
  <c r="F645" i="2"/>
  <c r="F646" i="2"/>
  <c r="F664" i="2"/>
  <c r="F757" i="2"/>
  <c r="F758" i="2" s="1"/>
  <c r="F759" i="2"/>
  <c r="F760" i="2" s="1"/>
  <c r="F755" i="2"/>
  <c r="F756" i="2" s="1"/>
  <c r="F761" i="2"/>
  <c r="F762" i="2" s="1"/>
  <c r="E182" i="2"/>
  <c r="F182" i="2" s="1"/>
  <c r="E160" i="2"/>
  <c r="F160" i="2" s="1"/>
  <c r="E193" i="2"/>
  <c r="F193" i="2" s="1"/>
  <c r="E204" i="2"/>
  <c r="F204" i="2" s="1"/>
  <c r="E171" i="2"/>
  <c r="F171" i="2" s="1"/>
  <c r="F630" i="2"/>
  <c r="F631" i="2"/>
  <c r="F987" i="2"/>
  <c r="F986" i="2"/>
  <c r="H1176" i="2"/>
  <c r="H1177" i="2" s="1"/>
  <c r="E1195" i="2" s="1"/>
  <c r="F1195" i="2" s="1"/>
  <c r="F1176" i="2"/>
  <c r="F1177" i="2" s="1"/>
  <c r="E1194" i="2" s="1"/>
  <c r="F1194" i="2" s="1"/>
  <c r="E253" i="2"/>
  <c r="F253" i="2" s="1"/>
  <c r="E375" i="2"/>
  <c r="F375" i="2" s="1"/>
  <c r="F378" i="2" s="1"/>
  <c r="F970" i="2"/>
  <c r="F968" i="2"/>
  <c r="F966" i="2"/>
  <c r="F967" i="2"/>
  <c r="F969" i="2"/>
  <c r="F1089" i="2"/>
  <c r="E236" i="2" l="1"/>
  <c r="F236" i="2" s="1"/>
  <c r="E241" i="2" s="1"/>
  <c r="F241" i="2" s="1"/>
  <c r="F242" i="2" s="1"/>
  <c r="F658" i="2"/>
  <c r="F659" i="2"/>
  <c r="F661" i="2"/>
  <c r="E115" i="2"/>
  <c r="F115" i="2" s="1"/>
  <c r="E1350" i="2"/>
  <c r="E1528" i="2"/>
  <c r="E1545" i="2"/>
  <c r="E381" i="2"/>
  <c r="F381" i="2" s="1"/>
  <c r="F383" i="2" s="1"/>
  <c r="E991" i="2" s="1"/>
  <c r="F991" i="2" s="1"/>
  <c r="F657" i="2"/>
  <c r="F662" i="2"/>
  <c r="F660" i="2"/>
  <c r="E219" i="2"/>
  <c r="F219" i="2" s="1"/>
  <c r="E200" i="2"/>
  <c r="F200" i="2" s="1"/>
  <c r="E495" i="2"/>
  <c r="F495" i="2" s="1"/>
  <c r="F501" i="2" s="1"/>
  <c r="F503" i="2" s="1"/>
  <c r="E120" i="2"/>
  <c r="F120" i="2" s="1"/>
  <c r="F125" i="2" s="1"/>
  <c r="E261" i="2"/>
  <c r="F261" i="2" s="1"/>
  <c r="F264" i="2" s="1"/>
  <c r="E267" i="2" s="1"/>
  <c r="F267" i="2" s="1"/>
  <c r="F271" i="2" s="1"/>
  <c r="E156" i="2"/>
  <c r="F156" i="2" s="1"/>
  <c r="E189" i="2"/>
  <c r="F189" i="2" s="1"/>
  <c r="E178" i="2"/>
  <c r="F178" i="2" s="1"/>
  <c r="F799" i="2"/>
  <c r="F800" i="2"/>
  <c r="F900" i="2"/>
  <c r="H899" i="2"/>
  <c r="F258" i="2"/>
  <c r="F742" i="2"/>
  <c r="F738" i="2"/>
  <c r="F734" i="2"/>
  <c r="F730" i="2"/>
  <c r="F726" i="2"/>
  <c r="F741" i="2"/>
  <c r="F737" i="2"/>
  <c r="F733" i="2"/>
  <c r="F729" i="2"/>
  <c r="F725" i="2"/>
  <c r="F740" i="2"/>
  <c r="F736" i="2"/>
  <c r="F732" i="2"/>
  <c r="F728" i="2"/>
  <c r="F724" i="2"/>
  <c r="F743" i="2"/>
  <c r="F727" i="2"/>
  <c r="F739" i="2"/>
  <c r="F723" i="2"/>
  <c r="F735" i="2"/>
  <c r="F731" i="2"/>
  <c r="E218" i="2"/>
  <c r="F218" i="2" s="1"/>
  <c r="E201" i="2"/>
  <c r="F201" i="2" s="1"/>
  <c r="E179" i="2"/>
  <c r="F179" i="2" s="1"/>
  <c r="E168" i="2"/>
  <c r="F168" i="2" s="1"/>
  <c r="E172" i="2" s="1"/>
  <c r="F172" i="2" s="1"/>
  <c r="F173" i="2" s="1"/>
  <c r="E190" i="2"/>
  <c r="F190" i="2" s="1"/>
  <c r="E194" i="2" s="1"/>
  <c r="F194" i="2" s="1"/>
  <c r="E157" i="2"/>
  <c r="E249" i="2"/>
  <c r="F249" i="2" s="1"/>
  <c r="F250" i="2" s="1"/>
  <c r="E1357" i="2"/>
  <c r="E1076" i="2"/>
  <c r="E1067" i="2"/>
  <c r="E1060" i="2"/>
  <c r="E1135" i="2"/>
  <c r="F1135" i="2" s="1"/>
  <c r="E1126" i="2"/>
  <c r="F1126" i="2" s="1"/>
  <c r="E1118" i="2"/>
  <c r="F1118" i="2" s="1"/>
  <c r="E1053" i="2"/>
  <c r="E1110" i="2"/>
  <c r="E1046" i="2"/>
  <c r="E1093" i="2"/>
  <c r="E1101" i="2"/>
  <c r="E426" i="2"/>
  <c r="E584" i="2"/>
  <c r="F584" i="2" s="1"/>
  <c r="E577" i="2"/>
  <c r="F577" i="2" s="1"/>
  <c r="E440" i="2"/>
  <c r="F440" i="2" s="1"/>
  <c r="E567" i="2"/>
  <c r="F567" i="2" s="1"/>
  <c r="E398" i="2"/>
  <c r="F398" i="2" s="1"/>
  <c r="F502" i="2" l="1"/>
  <c r="F504" i="2"/>
  <c r="H657" i="2"/>
  <c r="E205" i="2"/>
  <c r="F205" i="2" s="1"/>
  <c r="F206" i="2" s="1"/>
  <c r="F207" i="2" s="1"/>
  <c r="C227" i="2" s="1"/>
  <c r="E1533" i="2"/>
  <c r="F1533" i="2" s="1"/>
  <c r="F1528" i="2"/>
  <c r="E1555" i="2"/>
  <c r="F1545" i="2"/>
  <c r="E183" i="2"/>
  <c r="F183" i="2" s="1"/>
  <c r="F184" i="2" s="1"/>
  <c r="F195" i="2"/>
  <c r="E1527" i="2" s="1"/>
  <c r="E227" i="2"/>
  <c r="E559" i="2"/>
  <c r="F559" i="2" s="1"/>
  <c r="E424" i="2"/>
  <c r="E346" i="2"/>
  <c r="F346" i="2" s="1"/>
  <c r="F350" i="2" s="1"/>
  <c r="E396" i="2"/>
  <c r="F396" i="2" s="1"/>
  <c r="E337" i="2"/>
  <c r="F337" i="2" s="1"/>
  <c r="F342" i="2" s="1"/>
  <c r="F343" i="2" s="1"/>
  <c r="E438" i="2"/>
  <c r="F438" i="2" s="1"/>
  <c r="E223" i="2"/>
  <c r="F223" i="2" s="1"/>
  <c r="F224" i="2" s="1"/>
  <c r="F1350" i="2"/>
  <c r="E1297" i="2"/>
  <c r="F1292" i="2"/>
  <c r="F1110" i="2"/>
  <c r="F1113" i="2" s="1"/>
  <c r="L1110" i="2"/>
  <c r="M1110" i="2" s="1"/>
  <c r="M1113" i="2" s="1"/>
  <c r="E1366" i="2"/>
  <c r="F1357" i="2"/>
  <c r="F1101" i="2"/>
  <c r="F1105" i="2" s="1"/>
  <c r="L1101" i="2"/>
  <c r="M1101" i="2" s="1"/>
  <c r="M1105" i="2" s="1"/>
  <c r="F1053" i="2"/>
  <c r="F1056" i="2" s="1"/>
  <c r="L1053" i="2"/>
  <c r="M1053" i="2" s="1"/>
  <c r="M1056" i="2" s="1"/>
  <c r="L1060" i="2"/>
  <c r="M1060" i="2" s="1"/>
  <c r="M1063" i="2" s="1"/>
  <c r="F1060" i="2"/>
  <c r="F1063" i="2" s="1"/>
  <c r="E1003" i="2"/>
  <c r="F1003" i="2" s="1"/>
  <c r="E474" i="2"/>
  <c r="F474" i="2" s="1"/>
  <c r="E294" i="2"/>
  <c r="F294" i="2" s="1"/>
  <c r="F296" i="2" s="1"/>
  <c r="E452" i="2"/>
  <c r="F452" i="2" s="1"/>
  <c r="F454" i="2" s="1"/>
  <c r="E329" i="2"/>
  <c r="F329" i="2" s="1"/>
  <c r="F334" i="2" s="1"/>
  <c r="E353" i="2"/>
  <c r="F353" i="2" s="1"/>
  <c r="F356" i="2" s="1"/>
  <c r="E321" i="2"/>
  <c r="F321" i="2" s="1"/>
  <c r="F326" i="2" s="1"/>
  <c r="E314" i="2"/>
  <c r="F314" i="2" s="1"/>
  <c r="F318" i="2" s="1"/>
  <c r="E307" i="2"/>
  <c r="F307" i="2" s="1"/>
  <c r="F311" i="2" s="1"/>
  <c r="E288" i="2"/>
  <c r="F288" i="2" s="1"/>
  <c r="F291" i="2" s="1"/>
  <c r="E281" i="2"/>
  <c r="F281" i="2" s="1"/>
  <c r="F285" i="2" s="1"/>
  <c r="E274" i="2"/>
  <c r="F274" i="2" s="1"/>
  <c r="F278" i="2" s="1"/>
  <c r="F117" i="2"/>
  <c r="E412" i="2"/>
  <c r="F412" i="2" s="1"/>
  <c r="F426" i="2"/>
  <c r="L1046" i="2"/>
  <c r="M1046" i="2" s="1"/>
  <c r="M1049" i="2" s="1"/>
  <c r="F1046" i="2"/>
  <c r="F1049" i="2" s="1"/>
  <c r="L1076" i="2"/>
  <c r="F1076" i="2"/>
  <c r="F1080" i="2" s="1"/>
  <c r="F174" i="2"/>
  <c r="C230" i="2" s="1"/>
  <c r="E230" i="2"/>
  <c r="L1093" i="2"/>
  <c r="M1093" i="2" s="1"/>
  <c r="M1097" i="2" s="1"/>
  <c r="F1093" i="2"/>
  <c r="F1097" i="2" s="1"/>
  <c r="L1067" i="2"/>
  <c r="M1067" i="2" s="1"/>
  <c r="M1071" i="2" s="1"/>
  <c r="F1067" i="2"/>
  <c r="F1071" i="2" s="1"/>
  <c r="F157" i="2"/>
  <c r="E211" i="2" l="1"/>
  <c r="F211" i="2" s="1"/>
  <c r="E213" i="2" s="1"/>
  <c r="F213" i="2" s="1"/>
  <c r="F214" i="2" s="1"/>
  <c r="F215" i="2" s="1"/>
  <c r="E1308" i="2"/>
  <c r="F1308" i="2" s="1"/>
  <c r="E583" i="2"/>
  <c r="F583" i="2" s="1"/>
  <c r="F585" i="2" s="1"/>
  <c r="C587" i="2" s="1"/>
  <c r="E464" i="2"/>
  <c r="F464" i="2" s="1"/>
  <c r="F468" i="2" s="1"/>
  <c r="F469" i="2" s="1"/>
  <c r="F1555" i="2"/>
  <c r="E1562" i="2"/>
  <c r="F1562" i="2" s="1"/>
  <c r="E1146" i="2"/>
  <c r="F1146" i="2" s="1"/>
  <c r="E1532" i="2"/>
  <c r="F1532" i="2" s="1"/>
  <c r="F1534" i="2" s="1"/>
  <c r="F1527" i="2"/>
  <c r="F1529" i="2" s="1"/>
  <c r="E1302" i="2"/>
  <c r="E1538" i="2"/>
  <c r="E566" i="2"/>
  <c r="F566" i="2" s="1"/>
  <c r="F569" i="2" s="1"/>
  <c r="E571" i="2" s="1"/>
  <c r="F571" i="2" s="1"/>
  <c r="F572" i="2" s="1"/>
  <c r="E1291" i="2"/>
  <c r="F1291" i="2" s="1"/>
  <c r="F1293" i="2" s="1"/>
  <c r="E228" i="2"/>
  <c r="E1324" i="2"/>
  <c r="F1324" i="2" s="1"/>
  <c r="F185" i="2"/>
  <c r="C229" i="2" s="1"/>
  <c r="E1134" i="2" s="1"/>
  <c r="E229" i="2"/>
  <c r="E1307" i="2"/>
  <c r="E507" i="2"/>
  <c r="F507" i="2" s="1"/>
  <c r="F514" i="2" s="1"/>
  <c r="F515" i="2" s="1"/>
  <c r="E990" i="2"/>
  <c r="F990" i="2" s="1"/>
  <c r="F993" i="2" s="1"/>
  <c r="E1001" i="2" s="1"/>
  <c r="F1001" i="2" s="1"/>
  <c r="F196" i="2"/>
  <c r="C228" i="2" s="1"/>
  <c r="E576" i="2"/>
  <c r="F576" i="2" s="1"/>
  <c r="F579" i="2" s="1"/>
  <c r="C581" i="2" s="1"/>
  <c r="N1056" i="2"/>
  <c r="E299" i="2"/>
  <c r="F299" i="2" s="1"/>
  <c r="F301" i="2" s="1"/>
  <c r="F302" i="2" s="1"/>
  <c r="E1145" i="2"/>
  <c r="F1145" i="2" s="1"/>
  <c r="E589" i="2"/>
  <c r="F589" i="2" s="1"/>
  <c r="E458" i="2"/>
  <c r="F458" i="2" s="1"/>
  <c r="E1014" i="2"/>
  <c r="F1014" i="2" s="1"/>
  <c r="E161" i="2"/>
  <c r="E1375" i="2"/>
  <c r="F1366" i="2"/>
  <c r="F1297" i="2"/>
  <c r="E558" i="2"/>
  <c r="F558" i="2" s="1"/>
  <c r="F562" i="2" s="1"/>
  <c r="E563" i="2" s="1"/>
  <c r="E439" i="2"/>
  <c r="F439" i="2" s="1"/>
  <c r="F444" i="2" s="1"/>
  <c r="E397" i="2"/>
  <c r="F397" i="2" s="1"/>
  <c r="F402" i="2" s="1"/>
  <c r="E425" i="2"/>
  <c r="E473" i="2"/>
  <c r="F473" i="2" s="1"/>
  <c r="M1076" i="2"/>
  <c r="M1080" i="2" s="1"/>
  <c r="L1085" i="2"/>
  <c r="M1085" i="2" s="1"/>
  <c r="M1089" i="2" s="1"/>
  <c r="E1147" i="2"/>
  <c r="F1147" i="2" s="1"/>
  <c r="E459" i="2"/>
  <c r="F459" i="2" s="1"/>
  <c r="E590" i="2"/>
  <c r="F590" i="2" s="1"/>
  <c r="E477" i="2"/>
  <c r="F477" i="2" s="1"/>
  <c r="E410" i="2"/>
  <c r="F410" i="2" s="1"/>
  <c r="F424" i="2"/>
  <c r="E1117" i="2" l="1"/>
  <c r="F470" i="2"/>
  <c r="E1296" i="2"/>
  <c r="F1296" i="2" s="1"/>
  <c r="E1239" i="2"/>
  <c r="F1239" i="2" s="1"/>
  <c r="E1240" i="2" s="1"/>
  <c r="F1240" i="2" s="1"/>
  <c r="F1243" i="2" s="1"/>
  <c r="E588" i="2"/>
  <c r="F588" i="2" s="1"/>
  <c r="F592" i="2" s="1"/>
  <c r="E593" i="2" s="1"/>
  <c r="E1554" i="2"/>
  <c r="E1544" i="2"/>
  <c r="F1544" i="2" s="1"/>
  <c r="F1548" i="2" s="1"/>
  <c r="F1538" i="2"/>
  <c r="F1542" i="2" s="1"/>
  <c r="F303" i="2"/>
  <c r="E1317" i="2"/>
  <c r="E1365" i="2" s="1"/>
  <c r="F1302" i="2"/>
  <c r="F1304" i="2" s="1"/>
  <c r="E1125" i="2"/>
  <c r="A1125" i="2" s="1"/>
  <c r="E1349" i="2"/>
  <c r="F1307" i="2"/>
  <c r="F1298" i="2"/>
  <c r="F404" i="2"/>
  <c r="F403" i="2"/>
  <c r="F405" i="2" s="1"/>
  <c r="E1519" i="2"/>
  <c r="F1519" i="2" s="1"/>
  <c r="F1521" i="2" s="1"/>
  <c r="F445" i="2"/>
  <c r="F446" i="2"/>
  <c r="F479" i="2"/>
  <c r="E1383" i="2"/>
  <c r="F1375" i="2"/>
  <c r="F161" i="2"/>
  <c r="F1134" i="2"/>
  <c r="F1139" i="2" s="1"/>
  <c r="E1144" i="2" s="1"/>
  <c r="F1144" i="2" s="1"/>
  <c r="A1134" i="2"/>
  <c r="F1117" i="2"/>
  <c r="F1122" i="2" s="1"/>
  <c r="E1142" i="2" s="1"/>
  <c r="F1142" i="2" s="1"/>
  <c r="A1117" i="2"/>
  <c r="F425" i="2"/>
  <c r="F430" i="2" s="1"/>
  <c r="E411" i="2"/>
  <c r="F411" i="2" s="1"/>
  <c r="F417" i="2" s="1"/>
  <c r="E1325" i="2"/>
  <c r="F1325" i="2" s="1"/>
  <c r="F1328" i="2" s="1"/>
  <c r="E1318" i="2"/>
  <c r="F1318" i="2" s="1"/>
  <c r="E1356" i="2"/>
  <c r="F1356" i="2" s="1"/>
  <c r="F1360" i="2" s="1"/>
  <c r="F1349" i="2"/>
  <c r="F1351" i="2" s="1"/>
  <c r="F1317" i="2" l="1"/>
  <c r="E1561" i="2"/>
  <c r="F1561" i="2" s="1"/>
  <c r="F1565" i="2" s="1"/>
  <c r="F1554" i="2"/>
  <c r="F1558" i="2" s="1"/>
  <c r="E457" i="2"/>
  <c r="F1125" i="2"/>
  <c r="E1129" i="2" s="1"/>
  <c r="F1129" i="2" s="1"/>
  <c r="F1130" i="2" s="1"/>
  <c r="E1143" i="2" s="1"/>
  <c r="F1143" i="2" s="1"/>
  <c r="F1149" i="2" s="1"/>
  <c r="F1311" i="2"/>
  <c r="F419" i="2"/>
  <c r="F418" i="2"/>
  <c r="F432" i="2"/>
  <c r="F431" i="2"/>
  <c r="E1391" i="2"/>
  <c r="F1383" i="2"/>
  <c r="F1321" i="2"/>
  <c r="F1365" i="2"/>
  <c r="F1369" i="2" s="1"/>
  <c r="E1374" i="2"/>
  <c r="F162" i="2"/>
  <c r="E1406" i="2"/>
  <c r="F1406" i="2" s="1"/>
  <c r="F1414" i="2" s="1"/>
  <c r="F447" i="2"/>
  <c r="F420" i="2" l="1"/>
  <c r="F1374" i="2"/>
  <c r="F1378" i="2" s="1"/>
  <c r="E1382" i="2"/>
  <c r="E1002" i="2"/>
  <c r="F1002" i="2" s="1"/>
  <c r="F1018" i="2" s="1"/>
  <c r="F457" i="2"/>
  <c r="F460" i="2" s="1"/>
  <c r="F433" i="2"/>
  <c r="F163" i="2"/>
  <c r="A1075" i="2" s="1"/>
  <c r="E231" i="2"/>
  <c r="A1059" i="2"/>
  <c r="E1399" i="2"/>
  <c r="F1399" i="2" s="1"/>
  <c r="F1391" i="2"/>
  <c r="A1066" i="2" l="1"/>
  <c r="A1109" i="2"/>
  <c r="A1052" i="2"/>
  <c r="A1045" i="2"/>
  <c r="A1100" i="2"/>
  <c r="H1075" i="2"/>
  <c r="H1084" i="2"/>
  <c r="H1045" i="2"/>
  <c r="H1092" i="2"/>
  <c r="H1052" i="2"/>
  <c r="H1100" i="2"/>
  <c r="H1109" i="2"/>
  <c r="H1059" i="2"/>
  <c r="H1066" i="2"/>
  <c r="F1020" i="2"/>
  <c r="F1019" i="2"/>
  <c r="C231" i="2"/>
  <c r="A1092" i="2"/>
  <c r="A1084" i="2"/>
  <c r="F1382" i="2"/>
  <c r="F1386" i="2" s="1"/>
  <c r="E1390" i="2"/>
  <c r="F1390" i="2" l="1"/>
  <c r="F1394" i="2" s="1"/>
  <c r="E1398" i="2"/>
  <c r="F1398" i="2" s="1"/>
  <c r="F1401" i="2" s="1"/>
</calcChain>
</file>

<file path=xl/sharedStrings.xml><?xml version="1.0" encoding="utf-8"?>
<sst xmlns="http://schemas.openxmlformats.org/spreadsheetml/2006/main" count="3475" uniqueCount="1365">
  <si>
    <t>INSTITUTO NACIONAL DE AGUAS POTABLES Y ALCANTARILLADOS</t>
  </si>
  <si>
    <t>DEPARTAMENTO DE COSTOS Y PRESUPUESTOS</t>
  </si>
  <si>
    <t>Obra: MEJORAMIENTO ACUEDUCTO PEDERNALES ( EQUIPAMIENTO Y ELECTRIFICACIÓN POZOS )</t>
  </si>
  <si>
    <t>Ubicación: PROVINCIA PEDERNALES</t>
  </si>
  <si>
    <t>ZONA: VIII</t>
  </si>
  <si>
    <t>PART.</t>
  </si>
  <si>
    <t>D E S C R I P C I O N</t>
  </si>
  <si>
    <t>CANTIDAD</t>
  </si>
  <si>
    <t>U</t>
  </si>
  <si>
    <t>P.U. (RD$)</t>
  </si>
  <si>
    <t>VALOR (RD$)</t>
  </si>
  <si>
    <t>A</t>
  </si>
  <si>
    <t>EQUIPAMIENTO DE POZOS</t>
  </si>
  <si>
    <t>I</t>
  </si>
  <si>
    <t>EQUIPO PR 109901</t>
  </si>
  <si>
    <t>ELECTRIFICACIÓN PRIMARIA (EQUIPO PR 109901)</t>
  </si>
  <si>
    <t>POSTES EN H.A 40´ 500 DAM</t>
  </si>
  <si>
    <t>POSTES EN H.A 40´ 800 DAM</t>
  </si>
  <si>
    <t>ESTRUCTURA MT-307</t>
  </si>
  <si>
    <t>ESTRUCTURA HA-100B</t>
  </si>
  <si>
    <t>ESTRUCTURA MT-301</t>
  </si>
  <si>
    <t>ESTRUCTURA MT-316</t>
  </si>
  <si>
    <t>ATERRIZAJE COMPLETO (PR-101)</t>
  </si>
  <si>
    <t>ESTRUCTURA MT-302</t>
  </si>
  <si>
    <t>ESTRUCTURA MT-303</t>
  </si>
  <si>
    <t>ESTRUCTURA MT-305</t>
  </si>
  <si>
    <t>ESTRUCTURA TR-305 (NO INC. TRANSFORMADOR , CUT-OUT Y PARARRAYOS)</t>
  </si>
  <si>
    <t>ESTRUCTURA PR-208</t>
  </si>
  <si>
    <t>ESTRUCTURA AP-103</t>
  </si>
  <si>
    <t>TRANSFORMADORES 25 KVA, 12470-7200/240-480 V, TIPO POSTE, SUMERGIDO EN ACEITE.</t>
  </si>
  <si>
    <t>ALAMBRE AAAC No. 1/0</t>
  </si>
  <si>
    <t>P</t>
  </si>
  <si>
    <t>CUT-OUT 200 AMPS</t>
  </si>
  <si>
    <t>PARARRAYOS 9KV</t>
  </si>
  <si>
    <t>INSTALACION DE POSTES</t>
  </si>
  <si>
    <t>HOYO PARA POSTES</t>
  </si>
  <si>
    <t>HOYO PARA VIENTOS</t>
  </si>
  <si>
    <t xml:space="preserve">MANO DE OBRA ELECTRICA PRIMARIA </t>
  </si>
  <si>
    <t>PORTACONTADOR PARA MEDIDOR DE ENERGIA  INC. BREAKERS EN LA BAJA TENSION</t>
  </si>
  <si>
    <t xml:space="preserve">EQUIPOS DE ELECTRIFICACION SECUNDARIA (ALIMENTADORES) (PR-109901) </t>
  </si>
  <si>
    <t>ALIMENTADOR ELECTRICO DESDE BANCO DE TRANSFORMADOR HASTA BASE PARA MEDIDOR CON MAIN BREAKER, COMPUESTO POR: 3 CONDUCTORES ELECTRICOS THW NO.2 (FASE),  1 CONDUCTORES ELECTRICOS NO.4 THW (N), Y 1 COMDUCTOR HBD No. 4 A 7 HILOS TRENZADO EN TUBERIA IMC DE 1½ ",CONJUNTO DE CONECTORES Y SOPORTE DE TUBERIAS</t>
  </si>
  <si>
    <t>M</t>
  </si>
  <si>
    <t xml:space="preserve">ALIMENTADOR ELECTRICO DESDE MIAN BREAKER 125/3A HASTA ARRANCADOR, COMPUERTO POR: 3 CONDUTORES ELECTRICOS THW NO.2 (FASE), 1CONDUCTOR ELECTRICO No.4  THW (N)Y 1 CONDUCTOR HBD No. 4 A 7 HILOS TRENZADO (T), EN TUBERIA IMC Y PVC DE 1½", CONJUNTO DE CONECTORES, SOPORTE DE TUBERIA Y MOVIMIENTO DE TIERRA. </t>
  </si>
  <si>
    <t>ALIMENTADOR ELECTRICO DESDE PANEL DE ARRANCADOR  HASTA  ENTRADA DE POZO, COMPUERTO POR 1 CONDUCTOR ELECTRICO DE GOMA No. 4 A 4 HILOS EN TUBERIA LT Ø1½".</t>
  </si>
  <si>
    <t>ALIMENTADOR ELECTRICO DESDE MAIN BREAKER HASTA  TRANSFORMADOR SECO, COMPUERTO POR 2 CONDUCTORES ELECTRICO THW No. 10</t>
  </si>
  <si>
    <t>ALIMENTADOR ELECTRICO DESDE TRANSFORMADOR SECO HASTA PANEL DE BREAKER, COMPUERTO POR 3 CONDUCTORES ELECTRICO THW No.8 .</t>
  </si>
  <si>
    <t>PANEL DE BREAKER 2/4C, INCLUYE 2 BREKAER 15 AMP, 2 BREAKER 20 AMP.</t>
  </si>
  <si>
    <t>TRANSFORMADOR SECO 3 KV, 120/240-480 V, MONOFASICO</t>
  </si>
  <si>
    <t>MANO DE OBRA ELECTRICA SECUNDARIA</t>
  </si>
  <si>
    <t>EQUIPO DE BOMBEO POZO NO.(PR-109901)</t>
  </si>
  <si>
    <t xml:space="preserve">ARRANCADOR MAGNETICO  SUAVE  DE  40HP @ 460V, 3 FASES. PROVISTO DE: - BREAKER 100AMP, 3 POLOS. -  1 MONITOR DE FASES . - 1 SUPRESOR DE PICOS. - 1 CONTROL NIVEL PARA POZO. - 1 LUZ PILOTO APAGADO. - 1 LUZ PILOTO ENCENDIDO - 1 SELECTOR HAND-OFF-AUTO. - 1 ARMARIO NEMA 3R. </t>
  </si>
  <si>
    <t xml:space="preserve">CABLE SUMERGIBLE CALIBRE NO.4  A  4 HILOS CON SU TIERRA. </t>
  </si>
  <si>
    <t xml:space="preserve">CABLE SUMERGIBLE VINIL, CALIBRE NO. 14, 2 HILOS CON SU TIERRA PARA ELECTRODOS. </t>
  </si>
  <si>
    <t>INSTALACION DE ELECTROBOMBA</t>
  </si>
  <si>
    <t>NIPLES PLATILLADOS EN UN EXTREMO Ø4'' x 12''</t>
  </si>
  <si>
    <t>NIPLES PLATILLADOS EN UN EXTREMO Ø6'' x 12''</t>
  </si>
  <si>
    <t>NIPLES PLATILLADOS EN AMBOS EXTREMO Ø6'' x 12''</t>
  </si>
  <si>
    <t>TEE PLATILLADA Ø6'' x 3''</t>
  </si>
  <si>
    <t>ZETA P/ INTERCONECTAR LA LINEA DE IMPULSION Ø6''x 3</t>
  </si>
  <si>
    <t>DESCARGA(CODO TIPO CUELLO DE GANZO ) Ø6"</t>
  </si>
  <si>
    <t>REDUCCION DE Ø8" X 6"  EN ACERO</t>
  </si>
  <si>
    <t>CONSTRUCCION DE DESCARGA DE 6"</t>
  </si>
  <si>
    <t xml:space="preserve">ANCLAJE H.A. PARA DESCARGA </t>
  </si>
  <si>
    <t>SOPORTE DE H.A. PARA PIEZAS</t>
  </si>
  <si>
    <t xml:space="preserve">PINTURA DE OXIDO AZUL PARA DESCARGA </t>
  </si>
  <si>
    <t>MEDIDOR DE FLUJO DE Ø6", TIPO TURBINA VOLUMETRICO</t>
  </si>
  <si>
    <t>OTROS</t>
  </si>
  <si>
    <t>SUB-TOTAL I</t>
  </si>
  <si>
    <t>II</t>
  </si>
  <si>
    <t>EQUIPO ( PR - 100101 )</t>
  </si>
  <si>
    <t>ELECTRIFICACIÓN PRIMARIA (PR 100101)</t>
  </si>
  <si>
    <t>TRANSFORMADORES 15 KVA, 12470-7200/240-480 V, TIPO POSTE, SUMERGIDO EN ACEITE.</t>
  </si>
  <si>
    <t>NICHO PARA PANELES ELECTRICOS</t>
  </si>
  <si>
    <t>EQUIPOS DE ELCTRIFICACION SECUNDARIA (ALIMENTADORES) (PR-100101)</t>
  </si>
  <si>
    <t>EQUIPO DE BOMBEO POZO NO.( PR-100101 )</t>
  </si>
  <si>
    <t>ELECTROBOMBA SUMERGIBLE DE 450 GPM VS 155' TDH, 175' DE COLUMNA MAS BOMBA, CON MOTOR ELECTRICO DE 30 HP, 460 VOLTS, 3Ø'', 60 HZ, 3,500 RPM</t>
  </si>
  <si>
    <t xml:space="preserve">CABLE SUMERGIBLE CALIBRE NO. 6, 4 HILOS CON SU TIERRA. </t>
  </si>
  <si>
    <t>NIPLES PLATILLADOS EN UN EXTREMO Ø4'' X 12''</t>
  </si>
  <si>
    <t>NIPLES PLATILLADOS EN UN EXTREMO Ø6'' X 12''</t>
  </si>
  <si>
    <t>NIPLES PLATILLADOS EN AMBOS EXTREMO Ø6'' X 12''</t>
  </si>
  <si>
    <t>TEE PLATILLADA Ø6'' X 3''</t>
  </si>
  <si>
    <t>ZETA P/ INTERCONECTAR LA LINEA DE IMPULSION Ø6''x3</t>
  </si>
  <si>
    <t>REDUCCION DE Ø8" x 6"  EN ACERO</t>
  </si>
  <si>
    <t>SUB-TOTAL II</t>
  </si>
  <si>
    <t>SUB-TOTAL FASE A</t>
  </si>
  <si>
    <t>B</t>
  </si>
  <si>
    <t>REPANTEO</t>
  </si>
  <si>
    <t>MOVIMIENTO DE TIERRA</t>
  </si>
  <si>
    <t>M3</t>
  </si>
  <si>
    <t>ASIENTO DE ARENA</t>
  </si>
  <si>
    <t>Ø8" SDR-21 PVC , C/J.G. + 3% DESP.</t>
  </si>
  <si>
    <t>SUMINISTRO Y COLOCACION DE PIEZAS ESPECIALES</t>
  </si>
  <si>
    <t>ANCLAJES PARA PIEZAS</t>
  </si>
  <si>
    <t>CORTE DE TUBERIA DE Ø12" PVC P/EMPALME (4U)</t>
  </si>
  <si>
    <t>SUB-TOTAL FASE B</t>
  </si>
  <si>
    <t>C</t>
  </si>
  <si>
    <t>VARIOS</t>
  </si>
  <si>
    <t xml:space="preserve">CAMPAMENTO </t>
  </si>
  <si>
    <t>MES</t>
  </si>
  <si>
    <t>VALLA ANUNCIANDO OBRA 16X 10' IMPRESION FULL COLOR, CONTENIENDO LOGO DE INAPA, NOMBRE PROYECTO Y  CONTRATISTA. ESTRUCTURA EN TUBOS GALVANIZADOS 1 1/2 x 1 1/2 Y SOPORTES EN TUBO CUAD. 4 x 4</t>
  </si>
  <si>
    <t>SUB-TOTAL FASE C</t>
  </si>
  <si>
    <t>SUB TOTAL GENERAL</t>
  </si>
  <si>
    <t>GASTOS INDIRECTOS</t>
  </si>
  <si>
    <t>HONORARIOS PROFESIONALES</t>
  </si>
  <si>
    <t>GASTOS DE TRANSPORTE</t>
  </si>
  <si>
    <t>SEGUROS,POLIZA Y FIANZA</t>
  </si>
  <si>
    <t>GASTOS  ADMINISTRATIVOS</t>
  </si>
  <si>
    <t>LEY 6-86</t>
  </si>
  <si>
    <t>ITBIS DE HONORARIOS PROFESIONALES (LEY 07-2007)</t>
  </si>
  <si>
    <t xml:space="preserve">CODIA </t>
  </si>
  <si>
    <t>IMPREVISTOS</t>
  </si>
  <si>
    <t>TOTAL GASTOS INDIRECTOS</t>
  </si>
  <si>
    <t xml:space="preserve">TOTAL GENERAL  RD$ </t>
  </si>
  <si>
    <t xml:space="preserve">TOTAL A CONTRATAR  RD$ </t>
  </si>
  <si>
    <t>VERJA EN BLOQUES DE 6" VIOLINADOS</t>
  </si>
  <si>
    <t>4.1.1</t>
  </si>
  <si>
    <t>4.1.2</t>
  </si>
  <si>
    <t>MOVIMIENTO DE TIERRA:</t>
  </si>
  <si>
    <t>EXCAVACIÓN ZAPATAS  A MANO</t>
  </si>
  <si>
    <t xml:space="preserve">REPOSICIÓN MATERIAL COMPACTADO </t>
  </si>
  <si>
    <t>BOTE DE MATERIAL CON CAMIÓN IN SITU</t>
  </si>
  <si>
    <t>HORMIGÓN ARMADO EN:</t>
  </si>
  <si>
    <t>MUROS</t>
  </si>
  <si>
    <r>
      <t xml:space="preserve">BLOCK 6"  </t>
    </r>
    <r>
      <rPr>
        <sz val="10"/>
        <rFont val="Calibri"/>
        <family val="2"/>
      </rPr>
      <t>Ø</t>
    </r>
    <r>
      <rPr>
        <sz val="10"/>
        <rFont val="Arial"/>
        <family val="2"/>
      </rPr>
      <t xml:space="preserve">3/8"@0.60MTS  SNP VIOLINADO </t>
    </r>
  </si>
  <si>
    <t>M2</t>
  </si>
  <si>
    <t>BLOCK 6"  Ø3/8"@0.60MTS  BNP</t>
  </si>
  <si>
    <t>PANETE EN VIGAS Y COLUMNAS</t>
  </si>
  <si>
    <t>CANTOS</t>
  </si>
  <si>
    <t>ML</t>
  </si>
  <si>
    <t>PINTURA</t>
  </si>
  <si>
    <t>SUMINISTRO Y COLOCACIÓN DE ALAMBRE GALVANIZADO TIPO TRINCHERA</t>
  </si>
  <si>
    <t xml:space="preserve">PUERTA CORREDIZA LONG=4MTS </t>
  </si>
  <si>
    <t>P.A</t>
  </si>
  <si>
    <t>4.1.1.1</t>
  </si>
  <si>
    <t>4.1.1.2</t>
  </si>
  <si>
    <t>4.1.1.3</t>
  </si>
  <si>
    <t>4.1.2.1</t>
  </si>
  <si>
    <t>4.1.2.2</t>
  </si>
  <si>
    <t>4.1.2.3</t>
  </si>
  <si>
    <t>4.1.2.4</t>
  </si>
  <si>
    <t>4.1.2.5</t>
  </si>
  <si>
    <t>4.1.2.6</t>
  </si>
  <si>
    <t>4.1.3</t>
  </si>
  <si>
    <t>4.1.3.1</t>
  </si>
  <si>
    <t>4.1.3.2</t>
  </si>
  <si>
    <t>4.1.4</t>
  </si>
  <si>
    <t>4.1.4.1</t>
  </si>
  <si>
    <t>4.1.4.2</t>
  </si>
  <si>
    <t>4.1.5</t>
  </si>
  <si>
    <t>4.1.5.1</t>
  </si>
  <si>
    <t>4.1.5.2</t>
  </si>
  <si>
    <t>4.1.6</t>
  </si>
  <si>
    <t>4.1.7</t>
  </si>
  <si>
    <t xml:space="preserve">GARITA DE VIGILANTE </t>
  </si>
  <si>
    <t>REPLANTEO</t>
  </si>
  <si>
    <t>PA</t>
  </si>
  <si>
    <t>ZAPATA DE MURO ( INCL. ZAP. C1) 0.85 QQ/M3</t>
  </si>
  <si>
    <t>VIGA DE AMARRE A NIVEL DE PISO 0.15 X 0.20 - 3.71 QQ/M3</t>
  </si>
  <si>
    <t>VIGA DE AMARRE A NIVEL DE TECHO 0.15 X 0.20 - 3.37 QQ/M3</t>
  </si>
  <si>
    <t>DINTEL D1 (0.15 X 0.30 )    2.99 QQ/M3</t>
  </si>
  <si>
    <t>DINTEL D2 (0.15 X 0.40) 2.99 QQ/M3</t>
  </si>
  <si>
    <t>COLUMNA 0.30X0.15 - 3.03 QQ/M3</t>
  </si>
  <si>
    <t>LOSA DE TECHO Y VUELO 0.12 - 1.34 QQ/M3</t>
  </si>
  <si>
    <t xml:space="preserve">MUROS DE BLOCK </t>
  </si>
  <si>
    <t xml:space="preserve">B.N.P  DE Ø 6¨  </t>
  </si>
  <si>
    <t xml:space="preserve">S.N.P DE Ø 6¨  </t>
  </si>
  <si>
    <t>CALADOS</t>
  </si>
  <si>
    <t xml:space="preserve">PAÑETE INTERIOR </t>
  </si>
  <si>
    <t>PAÑETE EXTERIOR</t>
  </si>
  <si>
    <t xml:space="preserve">FINO DE TECHO </t>
  </si>
  <si>
    <t>ANTEPECHO</t>
  </si>
  <si>
    <t>PUERTA POLIMETAL INC HERRAJE INSTALACION Y LLAVIN TIPO PALANCA (2.10X1.00)</t>
  </si>
  <si>
    <t>P2</t>
  </si>
  <si>
    <t>SANITARIA</t>
  </si>
  <si>
    <t>INODORO</t>
  </si>
  <si>
    <t xml:space="preserve">CÁMARA DE INSPECCIÓN </t>
  </si>
  <si>
    <t>SÉPTICO (1.90X1.10) M</t>
  </si>
  <si>
    <t>DESAGÜE DE PISO</t>
  </si>
  <si>
    <t>DESAGUE DE TECHO</t>
  </si>
  <si>
    <t>SUMINISTRO E INSTALACION TINACO 150GLS</t>
  </si>
  <si>
    <t>COLUMNA DE VENTILACION 3"</t>
  </si>
  <si>
    <t>TUBERÍA Y PIEZAS</t>
  </si>
  <si>
    <t>BARRA PARA CORTINA</t>
  </si>
  <si>
    <t>MANO DE OBRA INSTALACION</t>
  </si>
  <si>
    <t>ENTRADA GENERAL (INCLUYE PANEL DE BRAEKER DE 4/8 CIRCUITOS)</t>
  </si>
  <si>
    <t>SALIDAS LUCES CENITALES</t>
  </si>
  <si>
    <t>SALIDAS TOMACORRIENTES DOBLE 120 V</t>
  </si>
  <si>
    <t>SALIDAS INTERRUPTOR SENCILLOS</t>
  </si>
  <si>
    <t>4.2.1</t>
  </si>
  <si>
    <t>4.2.2</t>
  </si>
  <si>
    <t>4.2.9</t>
  </si>
  <si>
    <t>4.2.3</t>
  </si>
  <si>
    <t>4.2.3.1</t>
  </si>
  <si>
    <t>4.2.3.2</t>
  </si>
  <si>
    <t>4.2.3.3</t>
  </si>
  <si>
    <t>4.2.3.4</t>
  </si>
  <si>
    <t>4.2.3.5</t>
  </si>
  <si>
    <t>4.2.3.6</t>
  </si>
  <si>
    <t>4.2.3.7</t>
  </si>
  <si>
    <t>4.2.4</t>
  </si>
  <si>
    <t>4.2.4.1</t>
  </si>
  <si>
    <t>4.2.4.2</t>
  </si>
  <si>
    <t>4.2.4.3</t>
  </si>
  <si>
    <t>4.2.5</t>
  </si>
  <si>
    <t>4.2.5.1</t>
  </si>
  <si>
    <t>4.2.5.2</t>
  </si>
  <si>
    <t>4.2.5.3</t>
  </si>
  <si>
    <t>4.2.5.4</t>
  </si>
  <si>
    <t>4.2.5.5</t>
  </si>
  <si>
    <t>4.2.5.6</t>
  </si>
  <si>
    <t>4.2.6</t>
  </si>
  <si>
    <t>4.2.7</t>
  </si>
  <si>
    <t>4.2.8</t>
  </si>
  <si>
    <t>4.2.10</t>
  </si>
  <si>
    <t>4.2.10.1</t>
  </si>
  <si>
    <t>4.2.10.2</t>
  </si>
  <si>
    <t>4.2.10.3</t>
  </si>
  <si>
    <t>4.2.10.4</t>
  </si>
  <si>
    <t>4.2.10.5</t>
  </si>
  <si>
    <t>4.2.10.6</t>
  </si>
  <si>
    <t>4.2.10.7</t>
  </si>
  <si>
    <t>4.2.10.8</t>
  </si>
  <si>
    <t>4.2.10.9</t>
  </si>
  <si>
    <t>4.2.10.10</t>
  </si>
  <si>
    <t>4.2.10.11</t>
  </si>
  <si>
    <t>4.2.10.12</t>
  </si>
  <si>
    <t>4.2.10.13</t>
  </si>
  <si>
    <t>4.2.11</t>
  </si>
  <si>
    <t>4.2.11.1</t>
  </si>
  <si>
    <t>4.2.11.2</t>
  </si>
  <si>
    <t>4.2.11.3</t>
  </si>
  <si>
    <t>4.2.11.4</t>
  </si>
  <si>
    <t>PROVINCIA</t>
  </si>
  <si>
    <t>ZONAS</t>
  </si>
  <si>
    <t>%</t>
  </si>
  <si>
    <t>* * * INAPA * * *</t>
  </si>
  <si>
    <t>AZUA</t>
  </si>
  <si>
    <t>DIRECCION DE INGENIERIA</t>
  </si>
  <si>
    <t>BAHORUCO</t>
  </si>
  <si>
    <t>VIII</t>
  </si>
  <si>
    <t>BARAHONA</t>
  </si>
  <si>
    <t>DAJABON</t>
  </si>
  <si>
    <t>Analisis:</t>
  </si>
  <si>
    <t xml:space="preserve">PRESUPUESTO No. X </t>
  </si>
  <si>
    <t>Rec No.:</t>
  </si>
  <si>
    <t>xx/2020</t>
  </si>
  <si>
    <t>DISTRITO NACIONAL</t>
  </si>
  <si>
    <t>IV</t>
  </si>
  <si>
    <t>Obra:</t>
  </si>
  <si>
    <t>DEPOSITO REGULADOR DE 2,000 M3,  H.A.  SUPERFICIAL</t>
  </si>
  <si>
    <t>Fecha:</t>
  </si>
  <si>
    <t>DUARTE</t>
  </si>
  <si>
    <t>III</t>
  </si>
  <si>
    <t>Ubicación:</t>
  </si>
  <si>
    <t>PEDERNALES</t>
  </si>
  <si>
    <t>Zona:</t>
  </si>
  <si>
    <t>EL SEYBO</t>
  </si>
  <si>
    <t>VI</t>
  </si>
  <si>
    <t>Contratista:</t>
  </si>
  <si>
    <t>Contrato No.:</t>
  </si>
  <si>
    <t>ELIAS PIÑAS</t>
  </si>
  <si>
    <t>ITEM.</t>
  </si>
  <si>
    <t xml:space="preserve">D E S C R I P C I O N </t>
  </si>
  <si>
    <t>UD</t>
  </si>
  <si>
    <t>P.U. RD$</t>
  </si>
  <si>
    <t>VALOR RD$</t>
  </si>
  <si>
    <t>ESPAILLAT</t>
  </si>
  <si>
    <t>V</t>
  </si>
  <si>
    <t>GENERAL</t>
  </si>
  <si>
    <t>ROJA</t>
  </si>
  <si>
    <t>I N S U M O S  Y  M A N O  D E  O B R A</t>
  </si>
  <si>
    <t>HATO MAYOR</t>
  </si>
  <si>
    <t>a.1</t>
  </si>
  <si>
    <t>AGUA</t>
  </si>
  <si>
    <t>GL</t>
  </si>
  <si>
    <t>HERMANAS MIRABAL</t>
  </si>
  <si>
    <t>a.2</t>
  </si>
  <si>
    <t>CEMENTO GRIS EN ESTABLECIMIENTO</t>
  </si>
  <si>
    <t>FDA</t>
  </si>
  <si>
    <t>INDEPENDENCIA</t>
  </si>
  <si>
    <t>a.3</t>
  </si>
  <si>
    <t>CEMENTO BLANCO</t>
  </si>
  <si>
    <t>LA ALTAGRACIA</t>
  </si>
  <si>
    <t>a.4</t>
  </si>
  <si>
    <t>CAL</t>
  </si>
  <si>
    <t>LA ROMANA</t>
  </si>
  <si>
    <t>a.5</t>
  </si>
  <si>
    <t>ARENA</t>
  </si>
  <si>
    <t>LA VEGA</t>
  </si>
  <si>
    <t>a.6</t>
  </si>
  <si>
    <t>GRAVA</t>
  </si>
  <si>
    <t>MARIA TRINIDAD SANCHEZ</t>
  </si>
  <si>
    <t>a.7</t>
  </si>
  <si>
    <t>ARENA PAÑETE</t>
  </si>
  <si>
    <t>MONSEÑOL NOUEL</t>
  </si>
  <si>
    <t>a.8</t>
  </si>
  <si>
    <t>ACERO EN ESTABLECIMIENTO</t>
  </si>
  <si>
    <t>QQ</t>
  </si>
  <si>
    <t>MONTE CRISTI</t>
  </si>
  <si>
    <t>a.9</t>
  </si>
  <si>
    <t>ACERO ( MALLA ELECTROSOLDADA )</t>
  </si>
  <si>
    <t>MONTE PLATA</t>
  </si>
  <si>
    <t>a.10</t>
  </si>
  <si>
    <t>M.O. DE ACERO</t>
  </si>
  <si>
    <t>a.11</t>
  </si>
  <si>
    <t>M.O ACERO ( MALLA  ELECTROSOLDADA )</t>
  </si>
  <si>
    <t>PERAVIA</t>
  </si>
  <si>
    <t>a.12</t>
  </si>
  <si>
    <t>BLOCK 4"</t>
  </si>
  <si>
    <t>PUERTO PALTA</t>
  </si>
  <si>
    <t>VII</t>
  </si>
  <si>
    <t>a.13</t>
  </si>
  <si>
    <t>BLOCK 6"</t>
  </si>
  <si>
    <t>SAMANA</t>
  </si>
  <si>
    <t>a.14</t>
  </si>
  <si>
    <t>BLOCK 8"</t>
  </si>
  <si>
    <t>SAN CRISTOBAL</t>
  </si>
  <si>
    <t>a.15</t>
  </si>
  <si>
    <t>BLOCK CALADO</t>
  </si>
  <si>
    <t>SAN JOSE DE OCOA</t>
  </si>
  <si>
    <t>a.16</t>
  </si>
  <si>
    <t xml:space="preserve">MADERA </t>
  </si>
  <si>
    <t>SAN JUAN</t>
  </si>
  <si>
    <t>a.17</t>
  </si>
  <si>
    <t>ALAMBRE # 8</t>
  </si>
  <si>
    <t>LB</t>
  </si>
  <si>
    <t>SAN PEDRO DE MACORIS</t>
  </si>
  <si>
    <t>a.18</t>
  </si>
  <si>
    <t>ALAMBRE # 18</t>
  </si>
  <si>
    <t>SANCHEZ RAMIREZ</t>
  </si>
  <si>
    <t>a.19</t>
  </si>
  <si>
    <t>CLAVOS DULCES</t>
  </si>
  <si>
    <t xml:space="preserve">SANTIAGO </t>
  </si>
  <si>
    <t>a.20</t>
  </si>
  <si>
    <t>COMBUSTIBLE (GAS-OIL REG.) 10/16 -10- 2020</t>
  </si>
  <si>
    <t>SANTIAGO RODRIGUEZ</t>
  </si>
  <si>
    <t>a.21</t>
  </si>
  <si>
    <t>COMBUSTIBLE (GASOILNA REG.) 10/16 -10- 2020</t>
  </si>
  <si>
    <t>VALVERDE MAO</t>
  </si>
  <si>
    <t>a.22</t>
  </si>
  <si>
    <t>COMBUSTIBLE (G.L.P ) 10/16 -10- 2020</t>
  </si>
  <si>
    <t>a.23</t>
  </si>
  <si>
    <t>a.24</t>
  </si>
  <si>
    <t>DIA</t>
  </si>
  <si>
    <t>a.25</t>
  </si>
  <si>
    <t>a.26</t>
  </si>
  <si>
    <t>a.27</t>
  </si>
  <si>
    <t>a.28</t>
  </si>
  <si>
    <t>a.29</t>
  </si>
  <si>
    <t>a.30</t>
  </si>
  <si>
    <t>a.31</t>
  </si>
  <si>
    <t>a.32</t>
  </si>
  <si>
    <t xml:space="preserve">TASA DEL DOLAR US$ ( Prom Sep / 2020)  </t>
  </si>
  <si>
    <t>US$</t>
  </si>
  <si>
    <t>KM</t>
  </si>
  <si>
    <t>Para Acarreo de Materiales</t>
  </si>
  <si>
    <t>Pendiente</t>
  </si>
  <si>
    <t>TRANSPORTE DE  MATERIALES GRANULAR</t>
  </si>
  <si>
    <t>DISTANCIA</t>
  </si>
  <si>
    <t>TRANSPORTE DE  MATERIALES</t>
  </si>
  <si>
    <t>TRANSPORTE DE  ASFALTO</t>
  </si>
  <si>
    <t>DE 0 A 5 KM</t>
  </si>
  <si>
    <t>DE 5.1 A 10 KM</t>
  </si>
  <si>
    <t>DE 10  A 20 KM</t>
  </si>
  <si>
    <t>MAYOR A 20 KM</t>
  </si>
  <si>
    <t>km/prom</t>
  </si>
  <si>
    <t>a.34</t>
  </si>
  <si>
    <t>DISTANCIA  DESDE</t>
  </si>
  <si>
    <t>Para Acarreo horm.  Asfalto</t>
  </si>
  <si>
    <t xml:space="preserve">TRANSPORTE DE MATERIALES </t>
  </si>
  <si>
    <t>TRANSPORTE DE …..</t>
  </si>
  <si>
    <t>CEMENTO PUESTO EN OBRA</t>
  </si>
  <si>
    <t>SUMINISTRO</t>
  </si>
  <si>
    <t>CARGA Y DESCARGA (3 PEONES )</t>
  </si>
  <si>
    <t>HR</t>
  </si>
  <si>
    <t>TRANSPORTE</t>
  </si>
  <si>
    <t>M3/KM</t>
  </si>
  <si>
    <t>COSTO/UD  R.D$</t>
  </si>
  <si>
    <t>ACERO PUESTO EN OBRA</t>
  </si>
  <si>
    <t>COSTO/QQ  R.D$</t>
  </si>
  <si>
    <t>BLOCK DE 4" PUESTO EN OBRA</t>
  </si>
  <si>
    <t>BLOCK DE 6" PUESTO EN OBRA</t>
  </si>
  <si>
    <t>BLOCK DE 8" PUESTO EN OBRA</t>
  </si>
  <si>
    <t>A G R E G A D O S</t>
  </si>
  <si>
    <t>B.1</t>
  </si>
  <si>
    <t xml:space="preserve">AGREGADO ( ARENA ) </t>
  </si>
  <si>
    <t>b.1.1</t>
  </si>
  <si>
    <t>MATERIALES</t>
  </si>
  <si>
    <t>b.1.2</t>
  </si>
  <si>
    <t>MANEJO EN OBRA</t>
  </si>
  <si>
    <t>b.1.3</t>
  </si>
  <si>
    <t>COSTO/M3  R.D$</t>
  </si>
  <si>
    <t>B.2</t>
  </si>
  <si>
    <t>AGREGADO ( GRAVA )</t>
  </si>
  <si>
    <t>b.2.1</t>
  </si>
  <si>
    <t>b.2.2</t>
  </si>
  <si>
    <t>b.2.3</t>
  </si>
  <si>
    <t>COSTO/M3   R.D$</t>
  </si>
  <si>
    <t>B.3</t>
  </si>
  <si>
    <t>ARENA  P/ PAÑETE</t>
  </si>
  <si>
    <t>b.3.1</t>
  </si>
  <si>
    <t>COSTO EN PLANTA</t>
  </si>
  <si>
    <t>b.3.2</t>
  </si>
  <si>
    <t>b.3.3</t>
  </si>
  <si>
    <t>B.4</t>
  </si>
  <si>
    <t>EMBELLECIMIENTO CON GRAVILLA</t>
  </si>
  <si>
    <t>b.4.1</t>
  </si>
  <si>
    <t xml:space="preserve">SUMINISTRO </t>
  </si>
  <si>
    <t>b.4.2</t>
  </si>
  <si>
    <t>COLOCACION</t>
  </si>
  <si>
    <t>COSTO/M2   R.D$</t>
  </si>
  <si>
    <t>B.5</t>
  </si>
  <si>
    <t>SUM. Y COL.  DE ASIENTO DE ARENA</t>
  </si>
  <si>
    <t>b.5.1</t>
  </si>
  <si>
    <t>SUM. ARENA</t>
  </si>
  <si>
    <t>b.5.2</t>
  </si>
  <si>
    <t>PEONES</t>
  </si>
  <si>
    <t>b.5.3</t>
  </si>
  <si>
    <t xml:space="preserve">HERRAMIENTAS MENORES </t>
  </si>
  <si>
    <t>b.5.4</t>
  </si>
  <si>
    <t>RENDIMIENTO</t>
  </si>
  <si>
    <t>M3/DIA</t>
  </si>
  <si>
    <t>b.5.5</t>
  </si>
  <si>
    <t xml:space="preserve">COLOCACION </t>
  </si>
  <si>
    <t>CTO/M3 RD$</t>
  </si>
  <si>
    <t>B.6</t>
  </si>
  <si>
    <t>LIGADO Y VACIADO ( C / LIGADORA)</t>
  </si>
  <si>
    <t>b.6.1</t>
  </si>
  <si>
    <t>USO DE LIGADORA</t>
  </si>
  <si>
    <t>b.6.2</t>
  </si>
  <si>
    <t>b.6.3</t>
  </si>
  <si>
    <t>b.6.4</t>
  </si>
  <si>
    <t>b.6.5</t>
  </si>
  <si>
    <t>b.6.6</t>
  </si>
  <si>
    <t>LIGADO Y VACIADO                                        REND.</t>
  </si>
  <si>
    <t>M3/HR</t>
  </si>
  <si>
    <t>B.7</t>
  </si>
  <si>
    <t>LIGADO Y VACIADO ( A / MANO ) (14.00M3 EN 8 HORAS/ 1.72 M3 HR)</t>
  </si>
  <si>
    <t>b.7.1</t>
  </si>
  <si>
    <t>MADERA PARA PUENTES"(4 de 2"x10"x12', 6 usos)</t>
  </si>
  <si>
    <t>PT</t>
  </si>
  <si>
    <t>b.7.2</t>
  </si>
  <si>
    <t>CARRETILLA (7 MESES DE USO)</t>
  </si>
  <si>
    <t>b.7.3</t>
  </si>
  <si>
    <t>PALAS (7 MESES DE USO)</t>
  </si>
  <si>
    <t>b.7.4</t>
  </si>
  <si>
    <t>TANQUES DE AGUA (7 MESES DE USO)</t>
  </si>
  <si>
    <t>b.7.5</t>
  </si>
  <si>
    <t>CUBETAS PARA MEDIR EL AGUA ( 7 meses de usos )</t>
  </si>
  <si>
    <t>b.7.6</t>
  </si>
  <si>
    <t>MAESTRO</t>
  </si>
  <si>
    <t>b.7.7</t>
  </si>
  <si>
    <t>LLENADOR DE AGREGADOS (TC)</t>
  </si>
  <si>
    <t>b.7.8</t>
  </si>
  <si>
    <t>ACARREADORES DE AGREGADOS (TC)</t>
  </si>
  <si>
    <t>b.7.9</t>
  </si>
  <si>
    <t>LIGADORES (TC)</t>
  </si>
  <si>
    <t>b.7.10</t>
  </si>
  <si>
    <t>CEMENTERO (ACARREADOR DE CEMENTO) (TC)</t>
  </si>
  <si>
    <t>b.7.11</t>
  </si>
  <si>
    <t>VACIADOR Y TENEDOR (TC)</t>
  </si>
  <si>
    <t>b.7.12</t>
  </si>
  <si>
    <t>AGUATERO (TC)</t>
  </si>
  <si>
    <t>H O R M I G O N ES</t>
  </si>
  <si>
    <t>C.1</t>
  </si>
  <si>
    <t xml:space="preserve">H.S.PARA F'C= 280 KGS/CM2 </t>
  </si>
  <si>
    <t>c.1.1</t>
  </si>
  <si>
    <t>c.1.2</t>
  </si>
  <si>
    <t>c.1.3</t>
  </si>
  <si>
    <t>CEMENTO</t>
  </si>
  <si>
    <t>FDAS.</t>
  </si>
  <si>
    <t>c.1.4</t>
  </si>
  <si>
    <t xml:space="preserve">AGUA </t>
  </si>
  <si>
    <t>GLS</t>
  </si>
  <si>
    <t>c.1.5</t>
  </si>
  <si>
    <t>LIGADO Y VACIADO C/LIGADORA</t>
  </si>
  <si>
    <t>c.1.6</t>
  </si>
  <si>
    <t>DESPERDICIO 2%</t>
  </si>
  <si>
    <t>H.S./ F'C= 280 KGS/CM2 ( VAC. Y LIG. C/LIGADORA )</t>
  </si>
  <si>
    <t>H.S. / F'C= 280 KGS/CM2 ( VAC. Y LIG. A MANO )</t>
  </si>
  <si>
    <t>H.S. / F'C= 280 KGS/CM2 ( INDUSTRIAL )</t>
  </si>
  <si>
    <t xml:space="preserve">H.S.PARA F'C= 240 KGS/CM2 </t>
  </si>
  <si>
    <t>H.S./ F'C= 240 KGS/CM2 ( VAC. Y LIG. C/LIGADORA )</t>
  </si>
  <si>
    <t>H.S. / F'C= 240 KGS/CM2 ( VAC. Y LIG. A MANO )</t>
  </si>
  <si>
    <t>H.S. / F'C= 240 KGS/CM2 ( INDUSTRIAL )</t>
  </si>
  <si>
    <t>C.2</t>
  </si>
  <si>
    <t>H.S. PARA F'C= 210 KGS/ CM2</t>
  </si>
  <si>
    <t>c.2.1</t>
  </si>
  <si>
    <t>c.2.2</t>
  </si>
  <si>
    <t>c.2.3</t>
  </si>
  <si>
    <t xml:space="preserve">CEMENTO </t>
  </si>
  <si>
    <t>c.2.4</t>
  </si>
  <si>
    <t>c.2.5</t>
  </si>
  <si>
    <t xml:space="preserve">LIGADO Y VACIADO </t>
  </si>
  <si>
    <t>c.2.6</t>
  </si>
  <si>
    <t>H.S./ F'C= 210 KGS/CM2 ( VAC. Y LIG. C/LIGADORA )</t>
  </si>
  <si>
    <t>H.S. / F'C= 210 KGS/CM2 ( VAC. Y LIG. A MANO )</t>
  </si>
  <si>
    <t>H.S. / F'C= 210 KGS/CM2 ( INDUSTRIAL )</t>
  </si>
  <si>
    <t>C.3</t>
  </si>
  <si>
    <t>H.S. PARA F'C= 180 KGS/CM2</t>
  </si>
  <si>
    <t>c.3.1</t>
  </si>
  <si>
    <t>c.3.2</t>
  </si>
  <si>
    <t>c.3.3</t>
  </si>
  <si>
    <t>FDAS</t>
  </si>
  <si>
    <t>c.3.4</t>
  </si>
  <si>
    <t>c.3.5</t>
  </si>
  <si>
    <t>c.3.6</t>
  </si>
  <si>
    <t>H.S./ F'C= 180 KGS/CM2 ( VAC. Y LIG. C/LIGADORA )</t>
  </si>
  <si>
    <t>H.S. / F'C= 180 KGS/CM2 ( VAC. Y LIG. A MANO )</t>
  </si>
  <si>
    <t>H.S. / F'C= 180 KGS/CM2 ( INDUSTRIAL )</t>
  </si>
  <si>
    <t>C.4</t>
  </si>
  <si>
    <t>H.S. PARA F'C=140 KGS/CM2</t>
  </si>
  <si>
    <t>c.4.1</t>
  </si>
  <si>
    <t>c.4.2</t>
  </si>
  <si>
    <t>c.4.3</t>
  </si>
  <si>
    <t>c.4.4</t>
  </si>
  <si>
    <t>c.4.5</t>
  </si>
  <si>
    <t>c.4.6</t>
  </si>
  <si>
    <t>H.S./ F'C= 140 KGS/CM2 ( VAC. Y LIG. C/LIGADORA )</t>
  </si>
  <si>
    <t>H.S. / F'C= 140 KGS/CM2 ( VAC. Y LIG. A MANO )</t>
  </si>
  <si>
    <t>H.S. / F'C= 140 KGS/CM2 ( INDUSTRIAL )</t>
  </si>
  <si>
    <t>C.5</t>
  </si>
  <si>
    <t>HORMIGON CICLOPEO</t>
  </si>
  <si>
    <t>c.5.1</t>
  </si>
  <si>
    <t>H.S.140 KG/CM2+5% DESP.</t>
  </si>
  <si>
    <t>c.5.2</t>
  </si>
  <si>
    <t>PIEDRA CALIZA</t>
  </si>
  <si>
    <t>c.5.3</t>
  </si>
  <si>
    <t>MANO DE OBRA</t>
  </si>
  <si>
    <t>HORMIGON CICLOPEO ( VAC. Y LIG. C/LIGADORA )</t>
  </si>
  <si>
    <t>R.D.$</t>
  </si>
  <si>
    <t>HORMIGON CICLOPEO ( VAC. Y LIG. A MANO )</t>
  </si>
  <si>
    <t>C.6</t>
  </si>
  <si>
    <t xml:space="preserve">HORMIGON ( P/CAMARA ) 1:3:5 </t>
  </si>
  <si>
    <t>c.6.1</t>
  </si>
  <si>
    <t>c.6.2</t>
  </si>
  <si>
    <t>c.6.3</t>
  </si>
  <si>
    <t>c.6.4</t>
  </si>
  <si>
    <t>CEMENTO GRIS</t>
  </si>
  <si>
    <t>c.6.5</t>
  </si>
  <si>
    <t xml:space="preserve">MANO DE OBRA MEZCLADO </t>
  </si>
  <si>
    <t>c.6.6</t>
  </si>
  <si>
    <t xml:space="preserve">DESPERDICIO 3%  </t>
  </si>
  <si>
    <t>C.7</t>
  </si>
  <si>
    <t>RESUMEN DE HORMIGONES</t>
  </si>
  <si>
    <t>A/ Mano</t>
  </si>
  <si>
    <t>C/Ligadora</t>
  </si>
  <si>
    <t>Industrial</t>
  </si>
  <si>
    <t>LIGADO Y VACIADO DE HORMIGON</t>
  </si>
  <si>
    <t>D</t>
  </si>
  <si>
    <t>M O R T E R O</t>
  </si>
  <si>
    <t>D.1</t>
  </si>
  <si>
    <t>M0RTERO PARA PAÑETE 1:4</t>
  </si>
  <si>
    <t>d.1.1</t>
  </si>
  <si>
    <t>d.1.2</t>
  </si>
  <si>
    <t>d.1.3</t>
  </si>
  <si>
    <t>d.1.4</t>
  </si>
  <si>
    <t>d.1.5</t>
  </si>
  <si>
    <t>LIGADO</t>
  </si>
  <si>
    <t>d.1.6</t>
  </si>
  <si>
    <t>DESPERDICIO 3%</t>
  </si>
  <si>
    <t xml:space="preserve"> </t>
  </si>
  <si>
    <t>D.2</t>
  </si>
  <si>
    <t>MORTERO PARA FINO 1:3</t>
  </si>
  <si>
    <t>d.2.1</t>
  </si>
  <si>
    <t xml:space="preserve">ARENA </t>
  </si>
  <si>
    <t>d.2.2</t>
  </si>
  <si>
    <t>d.2.3</t>
  </si>
  <si>
    <t>d.2.4</t>
  </si>
  <si>
    <t>d.2.5</t>
  </si>
  <si>
    <t>D.3</t>
  </si>
  <si>
    <t>MORTERO 1:2 IMPERMEABLE P/PULIDO:</t>
  </si>
  <si>
    <t>d.3.1</t>
  </si>
  <si>
    <t>ARENA FINA + 2% DESP.</t>
  </si>
  <si>
    <t>d.3.2</t>
  </si>
  <si>
    <t>AGUA.</t>
  </si>
  <si>
    <t>d.3.3</t>
  </si>
  <si>
    <t>CAL HIDRATADA ( 50 LBS).</t>
  </si>
  <si>
    <t>d.3.4</t>
  </si>
  <si>
    <t>d.3.5</t>
  </si>
  <si>
    <t>MANO DE OBRA MEZCLADO ( Un Peón ).</t>
  </si>
  <si>
    <t>D.4</t>
  </si>
  <si>
    <t>MEZCLA CAL Y ARENA, P/MORTERO COLOC. PISO:</t>
  </si>
  <si>
    <t>d.4.1</t>
  </si>
  <si>
    <t>Arena grUesa lavada + 2% desP.</t>
  </si>
  <si>
    <t>d.4.2</t>
  </si>
  <si>
    <t>Cal hidratada (50 LBs.).</t>
  </si>
  <si>
    <t>d.4.3</t>
  </si>
  <si>
    <t>Mano de obra Mezclado (Un Peón).</t>
  </si>
  <si>
    <t>D.5</t>
  </si>
  <si>
    <t>MORTERO 1:10, COLOCAR PISOS:</t>
  </si>
  <si>
    <t>d.5.1</t>
  </si>
  <si>
    <t>Mezcla cal y arena Para Pisos + 20% desP.</t>
  </si>
  <si>
    <t>d.5.2</t>
  </si>
  <si>
    <t>CeMento gris.</t>
  </si>
  <si>
    <t>d.5.3</t>
  </si>
  <si>
    <t>Agua.</t>
  </si>
  <si>
    <t>d.5.4</t>
  </si>
  <si>
    <t>D.6</t>
  </si>
  <si>
    <t xml:space="preserve">REPELLO MAESTRADO MUROS  </t>
  </si>
  <si>
    <t>d.6.1</t>
  </si>
  <si>
    <t>Mortero 1:4 P/eMPañete + 30% desP., 2 cM. esP.</t>
  </si>
  <si>
    <t>d.6.2</t>
  </si>
  <si>
    <t>ReGLa (1 de 1"x4"x10' / 100 Usos).</t>
  </si>
  <si>
    <t>d.6.3</t>
  </si>
  <si>
    <t xml:space="preserve">ANDAMIOS  </t>
  </si>
  <si>
    <t>d.6.4</t>
  </si>
  <si>
    <t>Mano de obra.(1 Op2 + 1 TC) R22/m2/dia</t>
  </si>
  <si>
    <t>D.7</t>
  </si>
  <si>
    <t>FRAGUACHE</t>
  </si>
  <si>
    <t>d.7.1</t>
  </si>
  <si>
    <t>Mortero 1:4 P/eMPañete + 50% desP., 1.5 MM. esP.</t>
  </si>
  <si>
    <t>d.7.2</t>
  </si>
  <si>
    <t>d.7.3</t>
  </si>
  <si>
    <t>Mano de obra.( 1 Ay.+ 1 Tc ) R69/m2/dia</t>
  </si>
  <si>
    <t>d.7.4</t>
  </si>
  <si>
    <t>ANDAMIOS</t>
  </si>
  <si>
    <t>D.8</t>
  </si>
  <si>
    <t>RESANE</t>
  </si>
  <si>
    <t>d.8.1</t>
  </si>
  <si>
    <t>MORTERO 1:4  + 30% DESP.</t>
  </si>
  <si>
    <t>d.8.2</t>
  </si>
  <si>
    <t>REGLA (1 DE 1"x 4" x 10' / 100 USOS ).</t>
  </si>
  <si>
    <t>d.8.3</t>
  </si>
  <si>
    <t>MANO DE OBRA ( 1 Op2 + 1 Tc) R58 m2/dia</t>
  </si>
  <si>
    <t>D.9</t>
  </si>
  <si>
    <t xml:space="preserve">CARETEO </t>
  </si>
  <si>
    <t>d.9.1</t>
  </si>
  <si>
    <t>MORTEO 1:4 PARA EMPAÑETE + 30% DESP. DESP. (5MM ESPESOR)</t>
  </si>
  <si>
    <t>d.9.2</t>
  </si>
  <si>
    <t>MANO DE OBRA ( 1 Op2 + 1 Tc) R55 m2/dia</t>
  </si>
  <si>
    <t>COSTO /M2</t>
  </si>
  <si>
    <t>D.10</t>
  </si>
  <si>
    <t>ZABALETA 0.15 x 0.15  ( SIMPLE )</t>
  </si>
  <si>
    <t>X</t>
  </si>
  <si>
    <t>d.10.1</t>
  </si>
  <si>
    <t>H.S. 180 KG / CM2 + 5% DESP.</t>
  </si>
  <si>
    <t>d.10.2</t>
  </si>
  <si>
    <t>M.O. ( 1 Op2 + 1 Tc) techo R30 m/dia y piso R45 m/dia</t>
  </si>
  <si>
    <t>COSTO /UD RD$</t>
  </si>
  <si>
    <t>ZABALETA DE TECHO - CTO /M RD$</t>
  </si>
  <si>
    <t>ZABALETA DE PISO - CTO /M RD$</t>
  </si>
  <si>
    <t>MORTERO 1:4 +30% DESP.</t>
  </si>
  <si>
    <t>REGLA</t>
  </si>
  <si>
    <t>MANO DE OBRA(1 Op1+1Ay+1Tc ) R22 m2/dia</t>
  </si>
  <si>
    <t>PAÑETE INTERIOR</t>
  </si>
  <si>
    <t>MORTERO 1:4+30 % DESP</t>
  </si>
  <si>
    <t>MANO DE OBRA(1 Op1+1Ay+1Tc ) R28 m2/dia</t>
  </si>
  <si>
    <t>PAÑETE PULIDO INTERIOR  CANALETAS PLANTA</t>
  </si>
  <si>
    <t>CEMENTO 2DA CAPA</t>
  </si>
  <si>
    <t>M.O PAÑETE Y PULIDO (1 Op1+1Ay+1Tc)R17 m2/dia</t>
  </si>
  <si>
    <t>PAÑETE INTERIOR PULIDO</t>
  </si>
  <si>
    <t>M.O PAÑETE Y PULIDO (1 Op1+1Ay+1Tc)R19 m2/dia</t>
  </si>
  <si>
    <t>FINO LOSA DE FONDO</t>
  </si>
  <si>
    <t>MORTERO 1:3+ 25%DESP.</t>
  </si>
  <si>
    <t>BAJADA MAT.(2 Tnc/16) x C294</t>
  </si>
  <si>
    <t>MANO DE OBRA (1 Op2,+ Ay) R 15.24m2/dia</t>
  </si>
  <si>
    <t xml:space="preserve">   </t>
  </si>
  <si>
    <t>RD-$</t>
  </si>
  <si>
    <t>FINO LOSA DE FONDO PULIDO --------------------</t>
  </si>
  <si>
    <t>FINO LOSA DE TECHO</t>
  </si>
  <si>
    <t>MORTERO 1:3+DESP.</t>
  </si>
  <si>
    <t>SUBIDA MAT. ( 2 Tnc/16 x C303 )</t>
  </si>
  <si>
    <t>MANO DE OBRA (1 Op2,+ Ay) R 16m2/dia</t>
  </si>
  <si>
    <t>MORTERO 1:4+DESP.</t>
  </si>
  <si>
    <t>MANO DE OBRA (1 Op2,+ Tc) R 30m/dia</t>
  </si>
  <si>
    <t>RD$</t>
  </si>
  <si>
    <t>LECHADA CEMENTO BLANCO</t>
  </si>
  <si>
    <t>CEMENTO BLANCO DE 40 KG +20 % Desp.(50 m2/fda)</t>
  </si>
  <si>
    <t>LECHADA ( INSUMO )</t>
  </si>
  <si>
    <t>RD$/M2</t>
  </si>
  <si>
    <t>MANO DE OBRA (1 Op1,+ Tc) R 26m2/dia</t>
  </si>
  <si>
    <t>LECHADA CEMENTO GRIS</t>
  </si>
  <si>
    <t>CEMENTO GRIS  DE 42.5 KG +20 % Desp.(50 m2/fda)</t>
  </si>
  <si>
    <t>E</t>
  </si>
  <si>
    <t>A C E R O</t>
  </si>
  <si>
    <t>ACERO GENERAL</t>
  </si>
  <si>
    <t>ALAMBRE NO.18.  2 LIB.XQQ</t>
  </si>
  <si>
    <t>ACERO P/VIGAS Y COLUMNAS CORTAS Y  PARA PARRILLAS DE ZAPATA DE MUROS</t>
  </si>
  <si>
    <t>ACERO MALLA ( ELECTROSOLDADA )</t>
  </si>
  <si>
    <t>F</t>
  </si>
  <si>
    <t>ANALISIS MUROS DE BLOQUES</t>
  </si>
  <si>
    <t>MUROS DE BLOQUES DE 8"</t>
  </si>
  <si>
    <t>SUMINISTRO DE BLOQUES 8"</t>
  </si>
  <si>
    <t xml:space="preserve">COLOCACION BLOQUES </t>
  </si>
  <si>
    <t>MORTERO P/JUNTA  1.3+30%DESP.</t>
  </si>
  <si>
    <t>HORMIGON 1:3:5 EN CAMARA +10%DESP.</t>
  </si>
  <si>
    <t>ACERO 3/8"+20%DESP.</t>
  </si>
  <si>
    <t xml:space="preserve">ANDAMIOS P/BLOQUES </t>
  </si>
  <si>
    <t>CONFECCION ANDAMIOS</t>
  </si>
  <si>
    <t xml:space="preserve">LLENADO DE HUECOS </t>
  </si>
  <si>
    <t>MURO DE BLOQUES DE 8" SNP</t>
  </si>
  <si>
    <t>COSTO /M2RD$</t>
  </si>
  <si>
    <t>MURO DE BLOQUES DE 8" BNP</t>
  </si>
  <si>
    <t>COSTO/M2 RD$</t>
  </si>
  <si>
    <t>MURO DE BLOQUES DE 8" SNP A CAMARA LLENA</t>
  </si>
  <si>
    <t>MURO DE BLOQUES DE 8" BNP A CAMARA LLENA</t>
  </si>
  <si>
    <t>MURO DE BLOQUES DE 6" VIOLINADO AMBAS CARAS @3/8" @0.60MTS</t>
  </si>
  <si>
    <t>SUM.DE BLOQUE 6"</t>
  </si>
  <si>
    <t>SOLO MANO DE OBRA</t>
  </si>
  <si>
    <t>COLOCACION BLOQUES 6"</t>
  </si>
  <si>
    <t>MORTERO P/JUNTA+30%DESP.</t>
  </si>
  <si>
    <t>HORM.1:3:5 EN CAMARA +10%DESP.</t>
  </si>
  <si>
    <t>ACERO 3/8"+20%DESP</t>
  </si>
  <si>
    <t>ANDAMIOS P/BLOQUES</t>
  </si>
  <si>
    <t xml:space="preserve">LLENADO HUECOS </t>
  </si>
  <si>
    <t>VIOLINADO EN MUROS</t>
  </si>
  <si>
    <t>MURO DE BLOQUES DE 6" SNP</t>
  </si>
  <si>
    <t>MURO DE BLOQUES DE 6"BNP</t>
  </si>
  <si>
    <t>MURO DE BLOQUES DE 6" SNP A CAMARA LLENA</t>
  </si>
  <si>
    <t>MURO DE BLOQUES DE 6" BNP A CAMARA LLENA</t>
  </si>
  <si>
    <t>MURO DE BLOQUES DE 4"</t>
  </si>
  <si>
    <t>SUMINISTRO BLOQUES 4"</t>
  </si>
  <si>
    <t>COLOCACION BLOQUES 4"</t>
  </si>
  <si>
    <t>MORTERO P/JUNTA +30% DESP.</t>
  </si>
  <si>
    <t>HORMIGON 1:3:5 EN CAMARA +10% DESP.</t>
  </si>
  <si>
    <t>ACERO 3/8" +20% DESP.</t>
  </si>
  <si>
    <t>MURO DE BLOQUES DE 4" SNP</t>
  </si>
  <si>
    <t>MURO DE BLOQUES DE 4"BNP</t>
  </si>
  <si>
    <t>MURO DE BLOQUES DE 4" SNP A CAMARA LLENA</t>
  </si>
  <si>
    <t>MURO DE BLOQUES DE 4" BNP A CAMARA LLENA</t>
  </si>
  <si>
    <t>BLOQUES CALADOS</t>
  </si>
  <si>
    <t>SUMINISTRO BLOQUES</t>
  </si>
  <si>
    <t xml:space="preserve">MEZCLA P/PAÑETE </t>
  </si>
  <si>
    <t xml:space="preserve">DESP. BLOQUES </t>
  </si>
  <si>
    <t>MURO DE BLOCK 6"</t>
  </si>
  <si>
    <t>PAÑETE</t>
  </si>
  <si>
    <t>R.D.$/M</t>
  </si>
  <si>
    <t>ACERA PERIMETRAL 0.80</t>
  </si>
  <si>
    <t>PREPARACION DE TERRENO</t>
  </si>
  <si>
    <t>H.S. 180KG/CM2+5% DESP.</t>
  </si>
  <si>
    <t xml:space="preserve">ELABORACION VACIADO Y FROTADO </t>
  </si>
  <si>
    <t xml:space="preserve">CANTOS LATERALES </t>
  </si>
  <si>
    <t>ACERA PERIMETRAL 0.60</t>
  </si>
  <si>
    <t>ACERA PERIMETRAL 1.00</t>
  </si>
  <si>
    <t>PISO HORMIGON SIMPLE PULIDO ( COLOR NAT. )</t>
  </si>
  <si>
    <t>HORMIGON 1:3:5</t>
  </si>
  <si>
    <t>MORTERO 1:4</t>
  </si>
  <si>
    <t xml:space="preserve">ELAB. VAC. FROT. Y VIOL. </t>
  </si>
  <si>
    <t>CEMENTO GRIS PULIDO</t>
  </si>
  <si>
    <t>DISTANCIA DESDE…</t>
  </si>
  <si>
    <t>TRANSPORTE DE PIEDRA</t>
  </si>
  <si>
    <t>ENCACHE PIEDRAS</t>
  </si>
  <si>
    <t>SUMINISTRO DE PIEDRA</t>
  </si>
  <si>
    <t xml:space="preserve">CEMENTO GRIS </t>
  </si>
  <si>
    <t>PIEDRAS</t>
  </si>
  <si>
    <t>MADERA Y CLAVOS</t>
  </si>
  <si>
    <t>COLOC. DE PIEDRA</t>
  </si>
  <si>
    <t>PREPARACION DE MORTERO</t>
  </si>
  <si>
    <t>COSTO TOTAL/M3 RD$</t>
  </si>
  <si>
    <t>ENCACHE PARA ESPESOR DE</t>
  </si>
  <si>
    <t>CTO/M2 RD$</t>
  </si>
  <si>
    <t>LOSA DE HORMIGON CON MALLA ELECTROSOLDADA</t>
  </si>
  <si>
    <t>HORMIGON 210 KG/CM2</t>
  </si>
  <si>
    <t xml:space="preserve">VIBRADO </t>
  </si>
  <si>
    <t>ACERO (MALLA ELECTROSOLDADA)</t>
  </si>
  <si>
    <t xml:space="preserve">MANO DE OBRA </t>
  </si>
  <si>
    <t xml:space="preserve">REGLA </t>
  </si>
  <si>
    <t>ALAMBRE No 18</t>
  </si>
  <si>
    <t xml:space="preserve">PULIDO </t>
  </si>
  <si>
    <t>PRECIO  P/M3</t>
  </si>
  <si>
    <t>JUNTA DE GOMA 9". WATER STOP</t>
  </si>
  <si>
    <t>SUMINISTRO JUNTA DE GOMA 9"</t>
  </si>
  <si>
    <t>DESP. DE JUNTA (NO PERMITE EMPATE ).15%</t>
  </si>
  <si>
    <t>M.O INSTALACION</t>
  </si>
  <si>
    <t>CTO/M RD$</t>
  </si>
  <si>
    <t xml:space="preserve">VIBRADO DE HORMIGON </t>
  </si>
  <si>
    <t>ALQ. DE VIBRADOR DE CONCRETO</t>
  </si>
  <si>
    <t>OBRERO CALIFICADO @RD$721.00/DIA</t>
  </si>
  <si>
    <t>DA</t>
  </si>
  <si>
    <t>RD$/DIA</t>
  </si>
  <si>
    <r>
      <t xml:space="preserve">Vibrado de Concreto en </t>
    </r>
    <r>
      <rPr>
        <b/>
        <sz val="10"/>
        <color indexed="10"/>
        <rFont val="Arial"/>
        <family val="2"/>
      </rPr>
      <t>COLUMNAS</t>
    </r>
    <r>
      <rPr>
        <b/>
        <sz val="10"/>
        <color indexed="18"/>
        <rFont val="Arial"/>
        <family val="2"/>
      </rPr>
      <t xml:space="preserve">              REND.</t>
    </r>
  </si>
  <si>
    <t>RD$/M3</t>
  </si>
  <si>
    <r>
      <t xml:space="preserve">Vibrado de Concreto en </t>
    </r>
    <r>
      <rPr>
        <b/>
        <sz val="10"/>
        <color indexed="10"/>
        <rFont val="Arial"/>
        <family val="2"/>
      </rPr>
      <t>VIGAS</t>
    </r>
    <r>
      <rPr>
        <b/>
        <sz val="10"/>
        <color indexed="18"/>
        <rFont val="Arial"/>
        <family val="2"/>
      </rPr>
      <t xml:space="preserve">                      REND.</t>
    </r>
  </si>
  <si>
    <r>
      <t xml:space="preserve">Vibrado de Concreto en </t>
    </r>
    <r>
      <rPr>
        <b/>
        <sz val="10"/>
        <color indexed="10"/>
        <rFont val="Arial"/>
        <family val="2"/>
      </rPr>
      <t>CUBIERTAS</t>
    </r>
    <r>
      <rPr>
        <b/>
        <sz val="10"/>
        <color indexed="18"/>
        <rFont val="Arial"/>
        <family val="2"/>
      </rPr>
      <t xml:space="preserve">              REND.</t>
    </r>
  </si>
  <si>
    <t>ADITIVO / M3</t>
  </si>
  <si>
    <t>SX-PELL + 10%  DESP.</t>
  </si>
  <si>
    <t>RD$/GL</t>
  </si>
  <si>
    <t>Aditivos p/ MORTERO 1:3 , 4-8 oz. / fdas. uso 8 oz</t>
  </si>
  <si>
    <t>Aditivos p/ MORTERO 1:4 , 4-8 oz. / fdas  uso 8 oz</t>
  </si>
  <si>
    <t>Aditivos p/ HORM. 1:3;5, 4-8 oz. /fdas, uso 8 oz</t>
  </si>
  <si>
    <t>Aditivos p/ HORM. 140, 16-32 oz/fda, uso 24 oz</t>
  </si>
  <si>
    <t>Aditivos p/ HORM. 180, 16-32 oz/fda, uso 24 oz</t>
  </si>
  <si>
    <t>Aditivos p/ HORM. 210, 16-32 oz/fda, uso 24 oz</t>
  </si>
  <si>
    <t>Aditivos p/ HORM. 240, 16-32 oz/fda, uso 24 oz</t>
  </si>
  <si>
    <t>Aditivos p/ HORM. 280, 16-32 oz/fda, uso 24 oz</t>
  </si>
  <si>
    <t>RESUMEN ADITIVO</t>
  </si>
  <si>
    <t>1;3</t>
  </si>
  <si>
    <t>ADITIVO P/MORTERO 1:3</t>
  </si>
  <si>
    <t>1;4</t>
  </si>
  <si>
    <t>ADITIVO P/MORTERO 1:4</t>
  </si>
  <si>
    <t>1;3:5</t>
  </si>
  <si>
    <t>ADITIVO P/HORMIGON 1:3:5</t>
  </si>
  <si>
    <t>ADITIVO P/HORMIGON 140 kg/cm2</t>
  </si>
  <si>
    <t>ADITIVO P/HORMIGON 180 kg/cm2</t>
  </si>
  <si>
    <t>ADITIVO P/HORMIGON 210 kg/cm2</t>
  </si>
  <si>
    <t>ADITIVO P/HORMIGON 240 kg/cm2</t>
  </si>
  <si>
    <t>ADITIVO P/HORMIGON 280 kg/cm2</t>
  </si>
  <si>
    <t>CONTEN (TELFORD)</t>
  </si>
  <si>
    <t>Area de sección:  0.10 M2</t>
  </si>
  <si>
    <t>VolUMen analizado:  1.00 M3</t>
  </si>
  <si>
    <t>VolUMen / Metro:  0.10 M3</t>
  </si>
  <si>
    <t>LongitUd total:  10.00 M</t>
  </si>
  <si>
    <t>Madera (110 P2 / 10 Usos + 10% desP.).</t>
  </si>
  <si>
    <t>Clavos (5 LB. / 100 P2).</t>
  </si>
  <si>
    <t>HorMigón  1:3:5 contén + 2% desP.</t>
  </si>
  <si>
    <t>Mortero 1:3 Para PUlido.</t>
  </si>
  <si>
    <t>Base contén (Mano de obra solaMente).</t>
  </si>
  <si>
    <t>ConstrUcción contén.</t>
  </si>
  <si>
    <t xml:space="preserve"> /M</t>
  </si>
  <si>
    <t>COLUMNAS VERJA MALLA CILONICA</t>
  </si>
  <si>
    <t>COLUMNAS C1 0.15X0.15 - 8.15QQ/M3  F'C=180KG/CM2</t>
  </si>
  <si>
    <t xml:space="preserve">K ACERO </t>
  </si>
  <si>
    <t>ENC.Y DESENC.</t>
  </si>
  <si>
    <t xml:space="preserve">VOLUMEN C1 /UD = </t>
  </si>
  <si>
    <t>HORMIGON   COLUMNA C1</t>
  </si>
  <si>
    <t>COLUMNA C1</t>
  </si>
  <si>
    <t>COLUMNAS C2 INCLUYE ZAPATA</t>
  </si>
  <si>
    <t>COLUMNAS C2 0.25X0.25 - 4.79QQ/M3  F'C=180KG/CM2</t>
  </si>
  <si>
    <t xml:space="preserve">VOLUMEN C2 /UD = </t>
  </si>
  <si>
    <t xml:space="preserve">$ / UD = </t>
  </si>
  <si>
    <t>/UD</t>
  </si>
  <si>
    <t>ZAPATA 0.75X0.75 - 1.43QQ/M3  F'C=180KG/CM2</t>
  </si>
  <si>
    <t xml:space="preserve">VOLUMEN Z /UD = </t>
  </si>
  <si>
    <t>HORMIGON   COLUMNA C2 INC. ZAPATA</t>
  </si>
  <si>
    <t xml:space="preserve">PINTURA </t>
  </si>
  <si>
    <t>COLUMNA C2 INC. ZAPATA</t>
  </si>
  <si>
    <t>BARANDILLAS H.G. 11/2 (P/ 6 M)</t>
  </si>
  <si>
    <t>TUB.1½" H.G..</t>
  </si>
  <si>
    <t>CODO 1½"x 90º H.G</t>
  </si>
  <si>
    <t>CRUZ 1½" H.G</t>
  </si>
  <si>
    <t>TEE 1½" H.G.</t>
  </si>
  <si>
    <t>FIJACION BASE</t>
  </si>
  <si>
    <t>PINTURA OXIDO ROJO</t>
  </si>
  <si>
    <t>PINTURA MANTENIMIENTO</t>
  </si>
  <si>
    <t>M.O.  CORTE Y SOLDADURA</t>
  </si>
  <si>
    <t>COSTO TOTAL R.D$</t>
  </si>
  <si>
    <t>P/ M R.D.$</t>
  </si>
  <si>
    <t>REPLANTEO PARA VERJA</t>
  </si>
  <si>
    <t>MADERA</t>
  </si>
  <si>
    <t>CLAVOS CORRIENTE 2½"</t>
  </si>
  <si>
    <t>NYLON</t>
  </si>
  <si>
    <t>ROLLO</t>
  </si>
  <si>
    <t>PERSONA:</t>
  </si>
  <si>
    <t>CARPINTERO (OP2) @900.00/DIA</t>
  </si>
  <si>
    <t>TECNICO CALIFICADO @ 780.00/DIA</t>
  </si>
  <si>
    <t>HERRAMIENTAS MENORES</t>
  </si>
  <si>
    <t>COSTO / TOTAL M RD$</t>
  </si>
  <si>
    <t>COSTO / M RD$</t>
  </si>
  <si>
    <t>REPLANTEO DE REGISTROS PARA VALVULAS</t>
  </si>
  <si>
    <t>COSTO / TOTAL RD$</t>
  </si>
  <si>
    <t>COSTO / M2 RD$</t>
  </si>
  <si>
    <t>REPLANTEO PARA VIVIENDA</t>
  </si>
  <si>
    <t>CHARRANCHA, CASA 10.00x20.00 M.:</t>
  </si>
  <si>
    <t>Area de la charrancha</t>
  </si>
  <si>
    <t>Clavos corrientes (1 M. = 10 clavos).</t>
  </si>
  <si>
    <t>Cal 50 LBs (1 M. = 0.04 FDA.).</t>
  </si>
  <si>
    <t>Madera bruta americana (4 Usos + 25 % desP).</t>
  </si>
  <si>
    <t>Hilo de nylon (1 M. = 0.005 Rollo).</t>
  </si>
  <si>
    <t>Técnico Calificado (TC) (1 M. = 0.034 día).</t>
  </si>
  <si>
    <t>CarPintero de segUnda (OP2) (1 M. = 0.015 día).</t>
  </si>
  <si>
    <t>Maestro de área (MA) (1 M. = 0.015 día).</t>
  </si>
  <si>
    <t>Brigada toPográfica (1 M. = 0.015 día).</t>
  </si>
  <si>
    <t>M O V I M I E N T O S  D E  T I E R R A</t>
  </si>
  <si>
    <t>EXCAVACION C/EQUIPOS</t>
  </si>
  <si>
    <t>RETROPALAS</t>
  </si>
  <si>
    <t>CAT - 416 E</t>
  </si>
  <si>
    <t>HP</t>
  </si>
  <si>
    <t>ALQUILER RETRO</t>
  </si>
  <si>
    <t>COMBUSTIBLE</t>
  </si>
  <si>
    <t>GL/HR</t>
  </si>
  <si>
    <t>LUBRICANTE 20%</t>
  </si>
  <si>
    <t>COSTO / HR RD$</t>
  </si>
  <si>
    <t>NO CLASIFICADO                                            REND.</t>
  </si>
  <si>
    <t>NO CLASIFICADO EN PRES. DE AGUA             REND.</t>
  </si>
  <si>
    <t>MATERIAL SATURADO                                     REND.</t>
  </si>
  <si>
    <t>MATERIAL COMPACTO                                    REND.</t>
  </si>
  <si>
    <t>MATERIAL COMPACTO EN PRES. DEAGUA      REND.</t>
  </si>
  <si>
    <t>PARA EXTRAER TUBERIAS                              REND.</t>
  </si>
  <si>
    <t>DESBROCE Y LIMPIEZA                                   REND.</t>
  </si>
  <si>
    <t>M2/HR</t>
  </si>
  <si>
    <t>CARGUIO                                                         REND.</t>
  </si>
  <si>
    <t>CAT - 416 C</t>
  </si>
  <si>
    <t>CAT - 416 D</t>
  </si>
  <si>
    <t>HYUNDAI H 940 C</t>
  </si>
  <si>
    <t>JCB 3C</t>
  </si>
  <si>
    <t>JOHN DEER 310 K</t>
  </si>
  <si>
    <t>NEW HOLLAND 895 B</t>
  </si>
  <si>
    <t>VOLVO BL60</t>
  </si>
  <si>
    <t>EXCAVADORAS</t>
  </si>
  <si>
    <t>CAT - 320</t>
  </si>
  <si>
    <t>CUÑAS Y PIEZAS</t>
  </si>
  <si>
    <t>OPERADOR @ RD$ 1,300.00/DIA</t>
  </si>
  <si>
    <t>TIERRA                                                            REND.</t>
  </si>
  <si>
    <t>CALICHE                                                          REND.</t>
  </si>
  <si>
    <t>CALICHE COMPACTO                                      REND.</t>
  </si>
  <si>
    <t>CALICHE COMPACTO EN PRES, DE AGUA      REND.</t>
  </si>
  <si>
    <t>CALICHE EN PRES, DE AGUA                          REND.</t>
  </si>
  <si>
    <t>ARCILLA                                                          REND.</t>
  </si>
  <si>
    <t>ARCILLA EN PRES, DE AGUA                          REND.</t>
  </si>
  <si>
    <t>ARCILLA EN PRES, DE AGUA ALTA PEND.      REND.</t>
  </si>
  <si>
    <t>CASCAJO                                                        REND.</t>
  </si>
  <si>
    <t>CASCAJO ALTA PENDIETE                              REND.</t>
  </si>
  <si>
    <t>CASCAJO EN PRES. DE AGUA                         REND.</t>
  </si>
  <si>
    <t>TOSCA MEDIA DUREZA                                    REND.</t>
  </si>
  <si>
    <t>BOLOS GRANDES                                            REND.</t>
  </si>
  <si>
    <t>BOLOS GRANDES ALTA  PENDIENTE              REND.</t>
  </si>
  <si>
    <t>BOLOS MEDIANOS                                          REND.</t>
  </si>
  <si>
    <t>BOLOS MEDIANOS  ALTA  PENDIENTE            REND.</t>
  </si>
  <si>
    <t>BOLOS PEQUEÑOS                                          REND.</t>
  </si>
  <si>
    <t>BOLOS PEQUEÑOS  ALTA  PENDIENTE           REND.</t>
  </si>
  <si>
    <t>RD$ /DCP</t>
  </si>
  <si>
    <t>CAT - 320 C/MARTILLO</t>
  </si>
  <si>
    <t>ALQUILER MARTILLO</t>
  </si>
  <si>
    <t>AYUDANTE @ RD$ 650.00/DIA</t>
  </si>
  <si>
    <t>ROCA CALIZA MEDIA DUREZA ( NORMAL )      REND.</t>
  </si>
  <si>
    <t>INC EXTRACCION</t>
  </si>
  <si>
    <t>ROCA CALIZA MEDIA DUREZA  EN P/ AGUA     REND.</t>
  </si>
  <si>
    <t>ROCA CALIZA DURA (EN COND. NORMAL )      REND.</t>
  </si>
  <si>
    <t>ROCA CALIZA DURA  EN PRES. DE AGUA        REND.</t>
  </si>
  <si>
    <t>RD$/M3 DCP</t>
  </si>
  <si>
    <t>TRENCHER , JEERMER 650</t>
  </si>
  <si>
    <t>ALQUILER TRENCHER</t>
  </si>
  <si>
    <t>ALQUILER LAVADO A PRESION</t>
  </si>
  <si>
    <t>ALQUILER SOLDADORA</t>
  </si>
  <si>
    <t>C/HR</t>
  </si>
  <si>
    <t>LUBRICANTE</t>
  </si>
  <si>
    <t>GRASAS</t>
  </si>
  <si>
    <t>LB/HR</t>
  </si>
  <si>
    <t>OPERDAOR</t>
  </si>
  <si>
    <t>AYUDANTE</t>
  </si>
  <si>
    <t>ROCA GRADO 6                                              REND.</t>
  </si>
  <si>
    <t xml:space="preserve">EXTRACCION DE MATERIAL  C/ CAT-320 </t>
  </si>
  <si>
    <t>UND.</t>
  </si>
  <si>
    <t>PRECIO</t>
  </si>
  <si>
    <t>TOTAL</t>
  </si>
  <si>
    <t>Alquiler de CAT 320</t>
  </si>
  <si>
    <t>h</t>
  </si>
  <si>
    <t xml:space="preserve">COMBUSTIBLE  (128 HP X 0.04 ) </t>
  </si>
  <si>
    <t>GL/H</t>
  </si>
  <si>
    <t>LUBRICANTE (20% DEL COMBUSTIBLE)</t>
  </si>
  <si>
    <t xml:space="preserve">% </t>
  </si>
  <si>
    <t>Ayudante RD$ 650.00 /DIA</t>
  </si>
  <si>
    <t>OPERARIO INCLUYE DIETA Y DORMITORIO</t>
  </si>
  <si>
    <t>H</t>
  </si>
  <si>
    <t>COSTO TOTAL POR HORA (CH)</t>
  </si>
  <si>
    <t xml:space="preserve">COSTO POR M3 </t>
  </si>
  <si>
    <t>COSTO TOTAL POR M3  (ESPONJADO 45%)</t>
  </si>
  <si>
    <t>COMPRESOR</t>
  </si>
  <si>
    <t>Tasa US$</t>
  </si>
  <si>
    <t>COMPRE</t>
  </si>
  <si>
    <t>PISTO</t>
  </si>
  <si>
    <t>MANG</t>
  </si>
  <si>
    <t>PUNT</t>
  </si>
  <si>
    <t>ALQ. /DIA</t>
  </si>
  <si>
    <t>ALQ. /HR</t>
  </si>
  <si>
    <t>ALQ. DE COMPRESOR (1 PISTOLA)</t>
  </si>
  <si>
    <t>ALQ.  DE COMPRESOR (2 PISTOLA)</t>
  </si>
  <si>
    <t>OPERADOR PISTOLA ( 2U ) @RD$900.00/DIA</t>
  </si>
  <si>
    <t>AYUDANTE ( 2U ) @650.00/DIA</t>
  </si>
  <si>
    <t>CUÑAS Y PIEZAS (650/8 )</t>
  </si>
  <si>
    <t>TRANSPORTE ( 200/8/1.035 )</t>
  </si>
  <si>
    <t>ROCA DURA                                                     REND.</t>
  </si>
  <si>
    <t>ROCA DURA EN PRESENCIA DE AGUA            REND.</t>
  </si>
  <si>
    <t>EXCAVACION A MANO</t>
  </si>
  <si>
    <t>MAESTRO ( 1U ) @ 1,500.00/DIA</t>
  </si>
  <si>
    <t>PEON (10 U) @ 650.00/DIA</t>
  </si>
  <si>
    <t>NO CLASIFICADO COND. NORMAL                  REND.</t>
  </si>
  <si>
    <t>NO CLASIFICADO EN PRES. AGUA                  REND.</t>
  </si>
  <si>
    <t>TOSCA BLANDA                                               REND.</t>
  </si>
  <si>
    <t>TOSCA DURA                                                   REND.</t>
  </si>
  <si>
    <t>ROCA MEDIA DURA                                         REND.</t>
  </si>
  <si>
    <t>CASCAJO                                                         REND.</t>
  </si>
  <si>
    <t>CANTO RODADO                                              REND.</t>
  </si>
  <si>
    <t>LODO                                                               REND.</t>
  </si>
  <si>
    <t>PAVIMENTO ASFALTICO                                  REND.</t>
  </si>
  <si>
    <t>EXTRACCION DE MATERIAL DOBLE TIRO        REND.</t>
  </si>
  <si>
    <t>DESBROCE Y LIMPIEZA                                    REND.</t>
  </si>
  <si>
    <t>EMPUJES  C/EQUIPOS</t>
  </si>
  <si>
    <t>CAT - D-8-K</t>
  </si>
  <si>
    <t>ALQUILER TRACTOR</t>
  </si>
  <si>
    <t>EXPLANACION TIERRA                                    REND.</t>
  </si>
  <si>
    <t>ESPARCIMINETO                                             REND.</t>
  </si>
  <si>
    <t>CAT - D-8-R</t>
  </si>
  <si>
    <t>CAT - D-6-N</t>
  </si>
  <si>
    <t>REGADO Y NIVELADO  C/EQUIPOS</t>
  </si>
  <si>
    <t>CAT -120-G</t>
  </si>
  <si>
    <t xml:space="preserve">ALQUILER GREADER </t>
  </si>
  <si>
    <t>REGADO, NIVELADO Y PERFILADO                 REND.</t>
  </si>
  <si>
    <t>ESCARIFICACION                                            REND.</t>
  </si>
  <si>
    <t>CORTE Y EMPUJE                                            REND.</t>
  </si>
  <si>
    <t>CONFORMACION DE CUNETA                          REND.</t>
  </si>
  <si>
    <t>KM/HR</t>
  </si>
  <si>
    <t>CARGUIO  C/EQUIPOS</t>
  </si>
  <si>
    <t>CAT -950-G</t>
  </si>
  <si>
    <t>ALQUILER PALA MECANICA</t>
  </si>
  <si>
    <t>CARGIO                                                           REND.</t>
  </si>
  <si>
    <t>ACARREO C / EQUIPOS</t>
  </si>
  <si>
    <t>BOTE C / EQUIPO</t>
  </si>
  <si>
    <t>BOBCAT- MINI CARGADOR CON NEUMATICO</t>
  </si>
  <si>
    <t>ALQUILER MINI CARGADOR</t>
  </si>
  <si>
    <t>OPERADOR @ RD$ X,XXX.00/DIA</t>
  </si>
  <si>
    <t>BOBCAT- MINI CARGADOR CON ORUGA</t>
  </si>
  <si>
    <t>Tasa US$:</t>
  </si>
  <si>
    <t>COMPACTACION  C/EQUIPOS</t>
  </si>
  <si>
    <t>CAT - 815</t>
  </si>
  <si>
    <t>ALQUILER COMPACTADOR</t>
  </si>
  <si>
    <t>COMPACTACION                                            REND.</t>
  </si>
  <si>
    <t>CAT - CB14 (RODILLO DOBLE TAMBOR).op montado</t>
  </si>
  <si>
    <t>CAT-MRH800DS2 (Rodillo Doble Tambor).Op a pie</t>
  </si>
  <si>
    <t>CAT-MRH800GS (Rodillo Doble Tambor).Op a pie</t>
  </si>
  <si>
    <t xml:space="preserve">RELLENO CON CAMPACTADO MECANICO </t>
  </si>
  <si>
    <t>ALQUILER DE EQUIPO</t>
  </si>
  <si>
    <t>PEON (3U)</t>
  </si>
  <si>
    <t>CARRETILLERO (2U)</t>
  </si>
  <si>
    <t>HERRAMIENTAS MENORES ( 3% )</t>
  </si>
  <si>
    <t>RELLENO COMPACTADO                                REND.</t>
  </si>
  <si>
    <t>RELLENO COMPACTADO  EN CAPA DE 0.20M</t>
  </si>
  <si>
    <t>PRECIO DCP</t>
  </si>
  <si>
    <t xml:space="preserve">RD$/M3 </t>
  </si>
  <si>
    <t>RELLENO COMPACTADO  EN CAPA DE 0.30M</t>
  </si>
  <si>
    <t>ANALISIS PARA CORTE DE ASFALTO (e =2" y 3" )</t>
  </si>
  <si>
    <t>CORTE DE ASFALTO</t>
  </si>
  <si>
    <t>ALQUILER MAQUINA @ RD$ 2,950.00/DIA</t>
  </si>
  <si>
    <t>OPERADOR @RD$ 950.00/DIA</t>
  </si>
  <si>
    <t>DÍA</t>
  </si>
  <si>
    <t>COMBUSTIBLE (GASOLINA) (0.04xHpx8)</t>
  </si>
  <si>
    <t xml:space="preserve">LUBRICANTE 20% DEL COMBUSTIBLE) </t>
  </si>
  <si>
    <t>HERRAMIENTAS</t>
  </si>
  <si>
    <t>DISCO DE CORTE ( RD$ 20,263/750 M)</t>
  </si>
  <si>
    <t>DESGASTE DEL DISCO</t>
  </si>
  <si>
    <t xml:space="preserve"> RD$/HR</t>
  </si>
  <si>
    <t>CORTE P/ESPESOR DE 2" Y 3"     REND. 70 M/DIA</t>
  </si>
  <si>
    <t>M/HR</t>
  </si>
  <si>
    <t xml:space="preserve"> RD$/M</t>
  </si>
  <si>
    <t>CORTE P/ESPESOR DE 4" Y 5"     REND. 40 M/DIA</t>
  </si>
  <si>
    <t>ANALISIS PARA COLOCACION DE ASFALTO ( e =varios )</t>
  </si>
  <si>
    <t>PERSONAL:</t>
  </si>
  <si>
    <t>CAPATAZ ( 1 U ) @1,977.00/DIA</t>
  </si>
  <si>
    <t>OPERADORE ( 1 U ) @1,100/DIA</t>
  </si>
  <si>
    <t>RASTRILLERO (1 U ) @ 659.00/DIA</t>
  </si>
  <si>
    <t>CARRETILLEROS ( 3 U ) @ 659.00/DIA</t>
  </si>
  <si>
    <t>LLENADORES DE CARRETILLA ( 2 U ) @ 659.00/DIA</t>
  </si>
  <si>
    <t>BARREDORES ( 2 U ) @659.00/DIA</t>
  </si>
  <si>
    <t>EQUIPOS:</t>
  </si>
  <si>
    <t>RODILLO PEQUEÑO DE MANO</t>
  </si>
  <si>
    <t>EQUIPOS MENORES (PALA, RASTRILLO, ...)</t>
  </si>
  <si>
    <t>P.A.</t>
  </si>
  <si>
    <t>RD$/TOTAL- DIA</t>
  </si>
  <si>
    <t>RENDIMIENTO DE COLOCACION DE ASFALTO</t>
  </si>
  <si>
    <t>PRECIO COLOCACION DE ASFALTO P/ 1 "</t>
  </si>
  <si>
    <t>M2/DIA</t>
  </si>
  <si>
    <t>PRECIO COLOCACION DE ASFALTO P/ 2 "</t>
  </si>
  <si>
    <t>PRECIO COLOCACION DE ASFALTO P/ 3 "</t>
  </si>
  <si>
    <t>PRECIO COLOCACION DE ASFALTO P/ 4 "</t>
  </si>
  <si>
    <t>PRECIO COLOCACION DE ASFALTO P/ 6 "</t>
  </si>
  <si>
    <t>COLOCACION CAJA TELESCOPICAS</t>
  </si>
  <si>
    <t>CTO/UDRD$</t>
  </si>
  <si>
    <t>REGULARIZACION FONDO DE ZANJAS</t>
  </si>
  <si>
    <t>PLACA DE COMPACTACION</t>
  </si>
  <si>
    <t>RENDIMIENTO ZANJAS GRANDES</t>
  </si>
  <si>
    <t>COSTO POR  M2</t>
  </si>
  <si>
    <t>RENDIMIENTO ZANJAS PEQUENAS</t>
  </si>
  <si>
    <t>ZAPATA DE MURO PARA VERJA 0..60 QQ/M3</t>
  </si>
  <si>
    <t>MANO DE OBRA DE ACERO</t>
  </si>
  <si>
    <t>VERJA MALLA CICLONICA</t>
  </si>
  <si>
    <t>EXCAVACION ROCA  80%</t>
  </si>
  <si>
    <t>EXCAVACION TIERRA  20%</t>
  </si>
  <si>
    <t>RELLENO</t>
  </si>
  <si>
    <t>BOTE DE MATERIAL</t>
  </si>
  <si>
    <t>ZAPATA DE MURO - 0.80 QQ/M3</t>
  </si>
  <si>
    <t>BLOCK 6" ( 3 LINEAS)</t>
  </si>
  <si>
    <t>LOMO DE PERRO</t>
  </si>
  <si>
    <t>TUBERIA 1½" x 15' H.G.</t>
  </si>
  <si>
    <t>TUBERIA 1¼" x 20' H.G.</t>
  </si>
  <si>
    <t>COPAS 2"</t>
  </si>
  <si>
    <t>COPAS 1½"</t>
  </si>
  <si>
    <t>BARRA TENSORA 1 x ½"</t>
  </si>
  <si>
    <t>ABRAZADERAS 1½" METAL</t>
  </si>
  <si>
    <t>MALLA CICLONICA No.9</t>
  </si>
  <si>
    <t>PALOMETA DOBLE</t>
  </si>
  <si>
    <t>ALMBRE DULCE No. 18</t>
  </si>
  <si>
    <t>ALMBRE DE PUAS</t>
  </si>
  <si>
    <t>PAÑTE DE MURO</t>
  </si>
  <si>
    <t>PINTURA PALOMETA, TUBOS Y ALAMBRE</t>
  </si>
  <si>
    <t>PINTURA LOMO DE PERRO Y MURO</t>
  </si>
  <si>
    <t>COSTO TOTAL RD$</t>
  </si>
  <si>
    <t>VERJA CON ALAMBRE DE PUAS</t>
  </si>
  <si>
    <t>COSTOS / M  RD$</t>
  </si>
  <si>
    <t>VERJA  ALAMBRE DE PUAS TIPO TRINCHERA</t>
  </si>
  <si>
    <t>MANO DE OBRA VERJA</t>
  </si>
  <si>
    <t>OPERADOR (OP1) @ 1,200.00/DIA</t>
  </si>
  <si>
    <t>AYUDANTE @ 950.00/DIA</t>
  </si>
  <si>
    <t>PEONES (2U) @650.00/DIA</t>
  </si>
  <si>
    <t>M/DIA</t>
  </si>
  <si>
    <t>MANO DE OBRA DESMONTE DE VERJA</t>
  </si>
  <si>
    <t xml:space="preserve">ALAMBRE TIPO TRINCHERA C/PALOMETAS A 3.00M </t>
  </si>
  <si>
    <t>M Lineal Para Analisis</t>
  </si>
  <si>
    <t>ALAMBRE TIPO TRINCHERA</t>
  </si>
  <si>
    <t>PALOMETAS  DOBLE</t>
  </si>
  <si>
    <t>ALAMBRE DULCE PARA TENDER</t>
  </si>
  <si>
    <t>ALAMBRE DULCE PARA AMARRAR</t>
  </si>
  <si>
    <t>COSTOS TOTAL RD$</t>
  </si>
  <si>
    <t>COSTO P/M RD$</t>
  </si>
  <si>
    <t>E L E M E N T O S   A R M A D O   D E   H O R M I G O N</t>
  </si>
  <si>
    <t>f'c</t>
  </si>
  <si>
    <t>Ancho:</t>
  </si>
  <si>
    <t>Vaciado y Ligado:</t>
  </si>
  <si>
    <t>K ACERO</t>
  </si>
  <si>
    <t>ADITIVO</t>
  </si>
  <si>
    <t>VIBRADO</t>
  </si>
  <si>
    <t>USO DE BOMBA (INCL. ALQUILER DE BOMBA, OPERADOR, AYUDANTE Y COMBUSTIBLE)</t>
  </si>
  <si>
    <t>ENC Y DESENC</t>
  </si>
  <si>
    <t>Seccion:</t>
  </si>
  <si>
    <t>REGISTRO DE VENTILACION</t>
  </si>
  <si>
    <t>LOSA DE TECHO</t>
  </si>
  <si>
    <t>VIGAS</t>
  </si>
  <si>
    <t>FINO DE TECHO</t>
  </si>
  <si>
    <t>MALLA METALICA (0.30 x0.20 ) ( 4 U )</t>
  </si>
  <si>
    <t>RD$/U</t>
  </si>
  <si>
    <t>ESCALERAS</t>
  </si>
  <si>
    <t>EXTERIOR C/PROTECCION ( TIPO GATO )</t>
  </si>
  <si>
    <t>PLANCHUELAS 3/8" x 4" METALICA (Langueros)</t>
  </si>
  <si>
    <t>PLANCHUELAS 3/8" x 4" METALICA (Prot hor)</t>
  </si>
  <si>
    <t>PLANCHUELAS 3/8" x 4" METALICA (Prot vert )</t>
  </si>
  <si>
    <t>PLANCHUELAS 3/8" x 4" METALICA (Sop. Esc. muro )</t>
  </si>
  <si>
    <t>PLANCHUELAS 3/8" x 4" METALICA (placas p/tornillos )</t>
  </si>
  <si>
    <t>ANGULARES 3/8' x 4" x 4" METALICO ( peldaños )</t>
  </si>
  <si>
    <t>TORNILLOS ½" x 2½" ESPANSIVOS + 25%</t>
  </si>
  <si>
    <t xml:space="preserve">ELECTRODOS 7010 </t>
  </si>
  <si>
    <t>TOTAL SUMINISTROS</t>
  </si>
  <si>
    <t>RD$/TOTAL</t>
  </si>
  <si>
    <t>EQUIPOS</t>
  </si>
  <si>
    <t>EQUIPO DE SOLDADURA (inc. pers, herr y combut)</t>
  </si>
  <si>
    <t>EQUIPO DE CORTE ( MOTO SIERRA )</t>
  </si>
  <si>
    <t>PLANTA ELECTRICA</t>
  </si>
  <si>
    <t>PULIDORA</t>
  </si>
  <si>
    <t>TALADRO</t>
  </si>
  <si>
    <t>TOTAL EQUIPOS</t>
  </si>
  <si>
    <t>SOLDADOR @ 1800.00/DIA (1)</t>
  </si>
  <si>
    <t>HERRERO (OP 1)@ 1,569.00/DIA (1U )</t>
  </si>
  <si>
    <t>AYUDANTE @847.00/DIA ( 2U )</t>
  </si>
  <si>
    <t xml:space="preserve">PINTURA OXIDO </t>
  </si>
  <si>
    <t>PINTURA ESMALTE AZUL</t>
  </si>
  <si>
    <t>TOTAL M.O.</t>
  </si>
  <si>
    <t>RD$/M</t>
  </si>
  <si>
    <t>MOTO SIERRA  ( GASOLINA )</t>
  </si>
  <si>
    <t>ALQUILER DE MOTOSIERRA</t>
  </si>
  <si>
    <t>Días</t>
  </si>
  <si>
    <t>COMBUSTIBLE GASOLINA</t>
  </si>
  <si>
    <t>ACEITE MOTOR 2 TIEMPOS</t>
  </si>
  <si>
    <t>REEMPLAZO DE CADENA DE CORTE ( UN CAMBIO CADA 10 DIA)</t>
  </si>
  <si>
    <t>RECAMBIO, MANTENIMIENTO (COSTO POR 10 DIAS DE USO)</t>
  </si>
  <si>
    <t>ALQUILER</t>
  </si>
  <si>
    <t>COMBUSTIBLE 0.50 gl/hr</t>
  </si>
  <si>
    <t>GL/DIA</t>
  </si>
  <si>
    <t xml:space="preserve">RD$ / DIA </t>
  </si>
  <si>
    <t>RD$ / HR</t>
  </si>
  <si>
    <t>ESCALERA CON PROTECCION</t>
  </si>
  <si>
    <t>ESCALERA SIN PROTECCION</t>
  </si>
  <si>
    <t>BARANDILLAS DE H.G. Ø 3/4" , CIRCULAR , L=8.92 M</t>
  </si>
  <si>
    <t>TUB.¾"  H.G..</t>
  </si>
  <si>
    <t>CODO ¾" x  45º  H.G</t>
  </si>
  <si>
    <t>CRUZ  ¾' x ¾'  H.G</t>
  </si>
  <si>
    <t>TEE ¾" x ¾"  H.G.</t>
  </si>
  <si>
    <t>PLACA METALICAS 3/8" x 8" x 8"</t>
  </si>
  <si>
    <t>PERFORACIONES C/TALADRO</t>
  </si>
  <si>
    <t>M.O.  CORTE, SOLDADURA, Y ARMADO</t>
  </si>
  <si>
    <t>PERFORACIONES PARA PERNOS</t>
  </si>
  <si>
    <t>TRABAJADOR NO CALIFICADO</t>
  </si>
  <si>
    <t>RD$/UD</t>
  </si>
  <si>
    <t>M.O DE CORTE Y SOLDADURA</t>
  </si>
  <si>
    <t>CORTE</t>
  </si>
  <si>
    <t>SOLDADURA</t>
  </si>
  <si>
    <t>MATERIAL PARA RELLENO</t>
  </si>
  <si>
    <t>COMPACTACION</t>
  </si>
  <si>
    <t>NIVELACION</t>
  </si>
  <si>
    <t>SUMINSTRO MATERIAL</t>
  </si>
  <si>
    <t>TRANSPORTE DE EQUIPOS</t>
  </si>
  <si>
    <t>EQUIPOS (EXC. MOTO NIVELADORA, COMPATADOR)</t>
  </si>
  <si>
    <t>COSTO QUE GENERA LOS EQUIPOS</t>
  </si>
  <si>
    <t xml:space="preserve">DIFERENCIA </t>
  </si>
  <si>
    <t>MANO DE OBRA PLOMERO PARA, TUBERIAS DE ENTRADA , SALIDA, BY PASS Y REBOSE Y PIEZAS</t>
  </si>
  <si>
    <t>TUBERIAS DE Ø12" SCH-40, ACERO,SIN COSTURA</t>
  </si>
  <si>
    <t>YEE 12"x12" ACERO SOLDADO</t>
  </si>
  <si>
    <t>TEE 12"x12" ACERO SOLDADO</t>
  </si>
  <si>
    <t>NIPLE Ø12"x36" ACERO</t>
  </si>
  <si>
    <t>CODO 12" x 90º ACERO SOLDADO</t>
  </si>
  <si>
    <t>CODO 12" x 45º ACERO SOLDADO</t>
  </si>
  <si>
    <t>VALVULA DE COMPUERTA Ø12" PLATILLADA</t>
  </si>
  <si>
    <t>MURO DE BLOQUES DE 6" VIOLINADO</t>
  </si>
  <si>
    <t>VIOLINADO</t>
  </si>
  <si>
    <t>HORM.EN CAMARA +10%DESP.</t>
  </si>
  <si>
    <t>MURO DE BLOQUES DE 6" BNP</t>
  </si>
  <si>
    <t>ZAPATA DE MURO  P/VERJA   0.87 QQ/M3</t>
  </si>
  <si>
    <t>ZAPATA 0.60X0.60 - 2.08QQ/M3  F'C=180KG/CM2</t>
  </si>
  <si>
    <t>VIGA DE AMARRE  SNP ( 0.20 X 0.20 )  2.45qq/M3</t>
  </si>
  <si>
    <t>H.S. 210KG/CM2+5% DESP.</t>
  </si>
  <si>
    <t>ACERO + ALAMBRE</t>
  </si>
  <si>
    <t>'MANO DE OBRA ACERO</t>
  </si>
  <si>
    <t>VIGA DE AMARRE  BNP( 0.20 X 0.15)  3.22qq/M3</t>
  </si>
  <si>
    <t>COLUMNAS 0.20X0.20 - 4.36QQ/M3  F'C=180KG/CM2</t>
  </si>
  <si>
    <t>SUMINISTRO  ACERO + ALAMBRE</t>
  </si>
  <si>
    <t>ALAMBRE TIPO TRINCHERA C/PALOMETAS A 3.00M (ANALISIS PARA 10 M)</t>
  </si>
  <si>
    <t>ALAMBRE TRINCHERA  GALVANIZADO</t>
  </si>
  <si>
    <t>ROLLO 850</t>
  </si>
  <si>
    <t>PERFIL</t>
  </si>
  <si>
    <t>TOTAL P/M</t>
  </si>
  <si>
    <t>GARITA</t>
  </si>
  <si>
    <t>ZAPATA DE MURO     0.85 QQ/M3</t>
  </si>
  <si>
    <t>H.S. 210 KG/CM2+5% DESP.</t>
  </si>
  <si>
    <t>DINTEL( 0.30 X 0.15)  2.99 qq/M3</t>
  </si>
  <si>
    <t>DINTEL( 0.40 X 0.15)  2.99 qq/M3</t>
  </si>
  <si>
    <t xml:space="preserve">COLUMNAS 0.30X0.15 - 3.03 QQ/M3  </t>
  </si>
  <si>
    <t>LOSA     1.34 QQ/M3</t>
  </si>
  <si>
    <t>CAJA DE INSPECCION</t>
  </si>
  <si>
    <t xml:space="preserve">MURO BLOQUES  DE 4"  </t>
  </si>
  <si>
    <t>LOSA DE FONDO</t>
  </si>
  <si>
    <t>TAPA H.A</t>
  </si>
  <si>
    <t>MEDIA CAÑA</t>
  </si>
  <si>
    <t>CODO DE 4 X 45</t>
  </si>
  <si>
    <t xml:space="preserve">EXCAVACION </t>
  </si>
  <si>
    <t>BOTE</t>
  </si>
  <si>
    <t>SEPTICO 1.90 X 1.10 X 0.20</t>
  </si>
  <si>
    <t>LOSA DE PISO</t>
  </si>
  <si>
    <t>LOSA SUPERIOR</t>
  </si>
  <si>
    <t>BLOQUES 6" CAMARA LLENA</t>
  </si>
  <si>
    <t>EXCAVACION</t>
  </si>
  <si>
    <t xml:space="preserve">BOTE </t>
  </si>
  <si>
    <t>PIEZAS</t>
  </si>
  <si>
    <t>TAPA ALUMINIO 0.60*0.60</t>
  </si>
  <si>
    <t>Ducha: (agua fría solamente)</t>
  </si>
  <si>
    <t>Tubo 2"x19', pvc SDR-41 + 10% desp.</t>
  </si>
  <si>
    <t>u</t>
  </si>
  <si>
    <t>Yee reducción 4"x2", pvc dren.</t>
  </si>
  <si>
    <t>Codo 2"x45, pvc dren.</t>
  </si>
  <si>
    <t>Codo 2"x90, pvc dren.</t>
  </si>
  <si>
    <t>Cemento pvc criollo, 1/32 gl., pinta, Cano + 25% desp.</t>
  </si>
  <si>
    <t>Tee 1/2", h.g. (fría y cal.)</t>
  </si>
  <si>
    <t>Tubo 1/2"x20', h.g., mamey + 10% desp. (fría y cal.)</t>
  </si>
  <si>
    <t>Codo 1/2"x90, h.g. (fría y cal.)</t>
  </si>
  <si>
    <t>Unión univ. 1/2", h.g.</t>
  </si>
  <si>
    <t>Niple 1/2"x4", h.g.</t>
  </si>
  <si>
    <t>Oxido Rojo "Popular" k-09 (en tub. h.g.)</t>
  </si>
  <si>
    <t>gl</t>
  </si>
  <si>
    <t>Ducha plástica completa, cromo. DR-303P  (1/2)</t>
  </si>
  <si>
    <t>Llave empotrar de 1/2", cromo, "Urrea"</t>
  </si>
  <si>
    <t>Sifón 2", pvc dren.</t>
  </si>
  <si>
    <t>Rejilla 3", de 2" p/piso, redonda, sencilla, cromo</t>
  </si>
  <si>
    <t>Cemento Bco. 40 kilos, "Cisne"</t>
  </si>
  <si>
    <t>fda</t>
  </si>
  <si>
    <t>Rollo teflón 3/4" + 25% desp.</t>
  </si>
  <si>
    <t>Técn. no calif., ALBAÑIL (TNCAL)</t>
  </si>
  <si>
    <t>día</t>
  </si>
  <si>
    <t>M.O. Inst. Aparato Sanit. ducha: (agua fría solamente) - Viene de MO Aparato Sanit.</t>
  </si>
  <si>
    <t>Lavadero granito bco., sencillo</t>
  </si>
  <si>
    <t>Tubo 2"x19', pvc SDR-41 + 10% desp. (enterrado)</t>
  </si>
  <si>
    <t>Tubo 1 1/2"x19', pvc dren. + 10% desp. (visible.)</t>
  </si>
  <si>
    <t>Oxido Rojo "Popular" k-09 (en tub.s h.g.)</t>
  </si>
  <si>
    <t>Lavadero sencillo granito, 1.25x0.50 m.</t>
  </si>
  <si>
    <t>Transporte lavadero sencillo (20 unid. Mínimo) Sto. Dgo., (variable)</t>
  </si>
  <si>
    <t>Boquilla lavadero, cromo, con tapón, 11/2 x 21/2  402-S</t>
  </si>
  <si>
    <t>Rejilla 4 5/8" p/piso, aluminio</t>
  </si>
  <si>
    <t>Llave chorro 1/2", "Urrea"</t>
  </si>
  <si>
    <t>Técn. no calif., ALBAÑIL (TNCAL) (Excavar y tapar zanja)</t>
  </si>
  <si>
    <t>M.O. Inst. Aparato Sanit. lavadero granito bco., sencillo - Viene de MO Ap.Sanit.</t>
  </si>
  <si>
    <t>Inodoro bco., tapa: baño servicio</t>
  </si>
  <si>
    <t>Tubo 4"x19', pvc SDR-41 + 10% desp.</t>
  </si>
  <si>
    <t>Yee 4"x4", pvc dren.</t>
  </si>
  <si>
    <t>Codo 4"x45, pvc dren.</t>
  </si>
  <si>
    <t>Codo 4"x90, pvc dren.</t>
  </si>
  <si>
    <t>Cemento pvc criollo, 1/32 gl., pinta, Cano + 10% desp.</t>
  </si>
  <si>
    <t>Reduc. "bushing" 1/2"x3/8", h.g. (fría y cal.)</t>
  </si>
  <si>
    <t>Inodoro bco., tapa, sin acces, "Simplex", 1-2222</t>
  </si>
  <si>
    <t>Arandela plástica PVC p/inodoro 400082 (Nuevo)</t>
  </si>
  <si>
    <t>Tornillos p/bacineta, 1/4"x2 1/2", HP167 R-801AA (Nuevo)</t>
  </si>
  <si>
    <t>jgo</t>
  </si>
  <si>
    <t>Junta de cera</t>
  </si>
  <si>
    <t>Llave angular 1/2" ó 3/8", "USA"</t>
  </si>
  <si>
    <t>Niple 3/8"x2 1/2", cromo</t>
  </si>
  <si>
    <t>Cubrefalta 3/8", cromo, HP323F D-382A</t>
  </si>
  <si>
    <t>Tubo flexible para inodoro, tuerca, 3/8"x7/8" 50 cm., EVS-B50</t>
  </si>
  <si>
    <t>M.O. Inst. Aparato Sanit. inodoro bco., tapa:  baño servicio - Viene de MO Ap. Sanit.</t>
  </si>
  <si>
    <t>Desagüe de piso 3", instalado (tub. matriz 4")</t>
  </si>
  <si>
    <t>Tubo 3"x19', pvc SDR-41 + 10% desp.</t>
  </si>
  <si>
    <t>Sifón 3", pvc dren. (Sin Invent.)</t>
  </si>
  <si>
    <t>Yee reducción 4"x3", pvc dren.</t>
  </si>
  <si>
    <t>Codo 3"x45, pvc dren.</t>
  </si>
  <si>
    <t>Codo 3"x90, pvc dren.</t>
  </si>
  <si>
    <t>M.O. Desagüe piso 3" y 4", con parrilla (Mano de obra)</t>
  </si>
  <si>
    <t>Desagües pluviales 3" (Vivienda de un nivel)</t>
  </si>
  <si>
    <t>Tubo 3"x19', pvc SDR-26 + 10% desp.</t>
  </si>
  <si>
    <t>Cemento pvc criollo, 1/4 gl., Cano + 25% desp. (1/4 galón)</t>
  </si>
  <si>
    <t>Técn. calif., ALBAÑIL (TCAL)</t>
  </si>
  <si>
    <t>M.O. Col. desagüe pluvial 3"</t>
  </si>
  <si>
    <t>PILETA BAÑERA</t>
  </si>
  <si>
    <t>MURO BLOCK 4"</t>
  </si>
  <si>
    <t xml:space="preserve">CERAMICA 0.20*0.20   </t>
  </si>
  <si>
    <t>HORMIGÓN ARMADO (210 KG/CM2)</t>
  </si>
  <si>
    <t>TERMINACIÓN DE SUPERFICIE</t>
  </si>
  <si>
    <t xml:space="preserve">ELECTRIFICACIÓN  </t>
  </si>
  <si>
    <t>ZAPATA DE MUROS (0.45 X 0.25)MTS  - 0.87 QQ/M3, F᾽C=180 KG/CM²</t>
  </si>
  <si>
    <t>ZAPATA  DE  COLUMNAS  (0.60 X 0.60 X 0.25)MTS - 2.08QQ/M3 F᾽C=180 KG/CM²</t>
  </si>
  <si>
    <t>COLUMNAS DE AMARRE (0.20 X 0.20)MTS - 4.36 QQ/M3, F᾽C=210 KG/CM²</t>
  </si>
  <si>
    <t>VIGA DE AMARRE  BNP (0.15 X 0.20)MTS - 3.22 QQ/M3,  F᾽C=210 KG/CM²</t>
  </si>
  <si>
    <t>VIGA DE AMARRE SNP (0.20 X 0.20)MTS - 2.45 QQ/M3,  F᾽C=210 KG/CM²</t>
  </si>
  <si>
    <t xml:space="preserve">VIGA APOYO DEL RIEL PUERTA CORREDIZA (0.20 X 0.20)MTS F᾽C=210 KG/CM² </t>
  </si>
  <si>
    <t xml:space="preserve">VIGA DE AMARRE   PARA RIEL ( 0.20 X 0.20 )  </t>
  </si>
  <si>
    <t>VERJA PERIMETRAL</t>
  </si>
  <si>
    <t>4.2.5.7</t>
  </si>
  <si>
    <t>MEDIDA DE COMPENSACIÓN AMBIENTAL</t>
  </si>
  <si>
    <t>MANTENIMIENTO Y OPERACIÓN SISTEMA DE INAPA</t>
  </si>
  <si>
    <t>INTERCONEXIÓN CON EDESUR</t>
  </si>
  <si>
    <t>PRUEBA HIDROSTÁTICA</t>
  </si>
  <si>
    <t>JUNTA MECÁNICA TIPO DRESSER Ø8"</t>
  </si>
  <si>
    <t>JUNTA MECÁNICA TIPO DRESSER Ø12"</t>
  </si>
  <si>
    <t>YEE DE 12'"x 8", ACERO SCH-40, CON PROTECCIÓN ANTICORROSIVO</t>
  </si>
  <si>
    <t>CODO DE 8'x25º  ACERO SCH-40, CON PROTECCIÓN ANTICORROSIVO</t>
  </si>
  <si>
    <t>CODO DE 8'x45º  ACERO SCH-40, CON PROTECCIÓN ANTICORROSIVO</t>
  </si>
  <si>
    <t>COLOCACION DE TUBERÍA</t>
  </si>
  <si>
    <t>SUMINISTRO DE TUBERÍA</t>
  </si>
  <si>
    <t>BOTE DE MATERIAL C/CAMIÓN A  5.00 KM (INC. ESPARACIMIENTO EN BOTADERO)</t>
  </si>
  <si>
    <t>RELLENO COMPACTADO C/COMPACTADOR MECACÁNICO EN CAPA DE 0.20 M</t>
  </si>
  <si>
    <t>EXCAVACIÓN  MATERIAL COMPACTO C/EQUIPO</t>
  </si>
  <si>
    <t>INTERCONEXIÓN DE POZOS A LÍNEA EXISTENTE DE Ø12" PVC SDR-21</t>
  </si>
  <si>
    <t>VÁLVULA DE AIRE 1'', 200 PSI, INSTALACION COMPLETA</t>
  </si>
  <si>
    <t>VÁLVULA DE AIRE 1'', 200 PSI, INSTALACIÓN COMPLETA</t>
  </si>
  <si>
    <t>INSTALACIÓN MANOMÉTRICA COMPLETA</t>
  </si>
  <si>
    <t>VÁLVULA DE COMPUERTA Ø4", PLATILLADA, VASTAGO ASCENDENTE 200 PSI.</t>
  </si>
  <si>
    <t>VÁLVULA DE COMPUERTA Ø6", PLATILLADA, VASTAGO ASCENDENTE 200 PSI.</t>
  </si>
  <si>
    <t>VÁLVULA LIMITADORA DE CAUDAL CON CHECK INTEGRADO  Ø6'' PLATILLADO 200 PSI</t>
  </si>
  <si>
    <t>JUNTA MECÁNICA TIPO DRESSER Ø6"</t>
  </si>
  <si>
    <t xml:space="preserve">ARRANCADOR MAGNÉTICO  SUAVE  DE  30HP @ 460V, 3 FASES. PROVISTO DE: - BREAKER 100AMP, 3 POLOS. -  1 MONITOR DE FASES . - 1 SUPRESOR DE PICOS. - 1 CONTROL NIVEL PARA POZO. - 1 LUZ PILOTO APAGADO. - 1 LUZ PILOTO ENCENDIDO - 1 SELECTOR HAND-OFF-AUTO. - 1 ARMARIO NEMA 3R. </t>
  </si>
  <si>
    <t>ALIMENTADOR ELÉCTRICO DESDE PANEL DE ARRANCADOR  HASTA  ENTRADA DE POZO, COMPUERTO POR 1 CONDUCTOR ELECTRICO DE GOMA No. 6 A 4 HILOS EN TUBERIA LT Ø1½".</t>
  </si>
  <si>
    <t xml:space="preserve">ALIMENTADOR ELÉCTRICO DESDE MIAN BREAKER 125/3A HASTA ARRANCADOR, COMPUERTO POR: 3 CONDUTORES ELECTRICOS THW NO.4 (FASE), 1 CONDUCTOR ELECTRICO No.6  THW (N)Y 1 CONDUCTOR HBD No. 4 A 7 HILOS TRENZADO (T), EN TUBERIA IMC Y PVC  DE 1½", CONJUNTO DE CONECTORES, SOPORTE DE TUBERIA Y MOVIMIENTO DE TIERRA. </t>
  </si>
  <si>
    <t>ALIMENTADOR ELÉCTRICO DESDE BANCO DE TRANSFORMADOR HASTA MAIN BREAKER, COMPUESTO POR: 3 CONDUCTORES ELÉCTRICOS THW NO.4 (FASE),  1 CONDUCTORES ELÉCTRICOS NO.6 THW (N), Y 1 COMDUCTOR HBD No. 4 A 7 HILOS TRENZADO EN TUBERÍA IMC DE 1½ ",CONJUNTO DE CONECTORES Y SOPORTE DE TUBERIAS</t>
  </si>
  <si>
    <t xml:space="preserve">MANO DE OBRA ELÉCTRICA PRIMARIA </t>
  </si>
  <si>
    <t>INSTALACIÓN DE POSTES</t>
  </si>
  <si>
    <t>CONSTRUCCIÓN DE DESCARGA DE 6"</t>
  </si>
  <si>
    <r>
      <t>M</t>
    </r>
    <r>
      <rPr>
        <vertAlign val="superscript"/>
        <sz val="10"/>
        <color indexed="8"/>
        <rFont val="Arial"/>
        <family val="2"/>
      </rPr>
      <t>3</t>
    </r>
  </si>
  <si>
    <r>
      <t>M</t>
    </r>
    <r>
      <rPr>
        <vertAlign val="superscript"/>
        <sz val="10"/>
        <color indexed="8"/>
        <rFont val="Arial"/>
        <family val="2"/>
      </rPr>
      <t>2</t>
    </r>
  </si>
  <si>
    <t xml:space="preserve">VIGA DE AMARRE  RIEL ( 0.20 X 0.20 )  </t>
  </si>
  <si>
    <t>MOVIMIENTO DE TIERRA (INCLUYE EXCAVACIÓN DE ZAPATAS, REPOSICIÓN DE MATERIAL COMPACTADO Y BOTE DE MATERIAL SOBRANTE)</t>
  </si>
  <si>
    <t>VIGA DE AMARRE  NP( 0.20 X 0.15)  3.71qq/M3</t>
  </si>
  <si>
    <t>VIGA DE AMARRE  NT( 0.20 X 0.15)  3.37qq/M3</t>
  </si>
  <si>
    <t>MURO DE BLOQUES DE 6"  @3/8" @0.60MTS</t>
  </si>
  <si>
    <r>
      <t>M</t>
    </r>
    <r>
      <rPr>
        <vertAlign val="superscript"/>
        <sz val="10"/>
        <rFont val="Arial"/>
        <family val="2"/>
      </rPr>
      <t>3</t>
    </r>
  </si>
  <si>
    <t>ELECTROBOMBA SUMERGIBLE DE 450 GPM VS 230' TDH,135' DE COLUMNA MAS BOMBA, CON MOTOR ELECTRICO DE 40 HP, 460 VOLTS, 3Ø'', 60HZ, 3,500 RPM</t>
  </si>
  <si>
    <t>PRIMER FRESH CEMENT EN VIGAS Y COLUMNAS</t>
  </si>
  <si>
    <t xml:space="preserve">ACRILICA AZUL TURQUESA CALIDAD SUPERIOR EN VIGAS Y COLUMNAS </t>
  </si>
  <si>
    <t xml:space="preserve">PISOS DE HORMIGON (f'c=210 kg/cm²) PULIDO, REFORZADO CON MALLA ELECTOSOLDADA Y FIBRA DE POLIPROLINO, ESPESOR 10 CM,  </t>
  </si>
  <si>
    <t>CONSTRUCCIÓN ACERA  (A=0.80M) HORMIGON f'c= 210 kg/cm2 INDUSTRIAL Y REFORZADO CON FIBRA DE POLIPROPILENO ESPESOR DE 10 cm</t>
  </si>
  <si>
    <t>VENTANA DE ALUMINIO CALIDAD SUPERIOR (INCLUYE COLOCACION Y REJA DE PROTECCION)</t>
  </si>
  <si>
    <t>DUCHA CON LLAVE NO EMPOTRADA</t>
  </si>
  <si>
    <t>LAVAMANOS SENCILLOS (INCLUYE LLAVE MONOMANDO Y LLAVE ANGULAR DOBLE)</t>
  </si>
  <si>
    <t>PILETA BAÑERA (INCLUYE CERAMICAS)</t>
  </si>
  <si>
    <t>LIMPIEZA FINAL</t>
  </si>
  <si>
    <t>ZABALETA EN FORMA DE UN CUARTO DE CAÑA</t>
  </si>
  <si>
    <r>
      <t>M</t>
    </r>
    <r>
      <rPr>
        <vertAlign val="superscript"/>
        <sz val="10"/>
        <color indexed="8"/>
        <rFont val="Arial"/>
        <family val="2"/>
      </rPr>
      <t>3</t>
    </r>
    <r>
      <rPr>
        <sz val="11"/>
        <color theme="1"/>
        <rFont val="Calibri"/>
        <family val="2"/>
        <scheme val="minor"/>
      </rPr>
      <t/>
    </r>
  </si>
  <si>
    <t>4.2.5.8</t>
  </si>
  <si>
    <t>PRIMER FRESH CEMENT EN MUROS Y SUPERFICIE INTERIOR DEL TECHO</t>
  </si>
  <si>
    <t>ACRILICA  CALIDAD SUPERIOR EN  MUROS Y SUPERFICIE INTERIOR DEL TECHO</t>
  </si>
  <si>
    <t xml:space="preserve">PUERTA CORREDIZA LONG=4MTS (INCLUYE PINTURA INDUSTRIAL EPOXICA FONDO Y ACABADO) </t>
  </si>
  <si>
    <t>PINTURA GENERAL ACRILICA CALIDAD SUPERIOR (INCLUYE PRIMER FRESH CEMENT)</t>
  </si>
  <si>
    <t>APROBACIÓN DE PLANOS MEDIA 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</si>
</sst>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_(* \(#,##0.00\);_(* &quot;-&quot;??_);_(@_)"/>
    <numFmt numFmtId="164" formatCode="&quot;RD$&quot;#,##0.00_);\(&quot;RD$&quot;#,##0.00\)"/>
    <numFmt numFmtId="165" formatCode="_(&quot;RD$&quot;* #,##0.00_);_(&quot;RD$&quot;* \(#,##0.00\);_(&quot;RD$&quot;* &quot;-&quot;??_);_(@_)"/>
    <numFmt numFmtId="166" formatCode="_-* #,##0.00\ _€_-;\-* #,##0.00\ _€_-;_-* &quot;-&quot;??\ _€_-;_-@_-"/>
    <numFmt numFmtId="167" formatCode="_-* #,##0.0\ _€_-;\-* #,##0.0\ _€_-;_-* &quot;-&quot;??\ _€_-;_-@_-"/>
    <numFmt numFmtId="168" formatCode="#,##0.0\ _€;\-#,##0.0\ _€"/>
    <numFmt numFmtId="169" formatCode="_-* #,##0.00_-;\-* #,##0.00_-;_-* &quot;-&quot;??_-;_-@_-"/>
    <numFmt numFmtId="170" formatCode="#,##0.00;[Red]#,##0.00"/>
    <numFmt numFmtId="171" formatCode="#,##0.00_ ;\-#,##0.00\ "/>
    <numFmt numFmtId="172" formatCode="General_)"/>
    <numFmt numFmtId="173" formatCode="0.000"/>
    <numFmt numFmtId="174" formatCode="0.00;[Red]0.00"/>
    <numFmt numFmtId="175" formatCode="0.0"/>
    <numFmt numFmtId="176" formatCode="_-* #,##0\ _€_-;\-* #,##0\ _€_-;_-* &quot;-&quot;??\ _€_-;_-@_-"/>
    <numFmt numFmtId="177" formatCode="#"/>
    <numFmt numFmtId="178" formatCode="&quot;$&quot;#,##0.00;\-&quot;$&quot;#,##0.00"/>
    <numFmt numFmtId="179" formatCode="#,##0.0;\-#,##0.0"/>
    <numFmt numFmtId="180" formatCode="#,##0.0_);\(#,##0.0\)"/>
    <numFmt numFmtId="181" formatCode="m/d/yyyy;@"/>
    <numFmt numFmtId="182" formatCode="#,##0.0000"/>
    <numFmt numFmtId="183" formatCode="_-* #,##0.00000_-;\-* #,##0.00000_-;_-* &quot;-&quot;??_-;_-@_-"/>
    <numFmt numFmtId="184" formatCode="0.00000"/>
    <numFmt numFmtId="185" formatCode="0.0000"/>
    <numFmt numFmtId="186" formatCode="#,##0.00000_);\(#,##0.00000\)"/>
    <numFmt numFmtId="187" formatCode="#,##0.000"/>
    <numFmt numFmtId="188" formatCode="#,##0.00000"/>
    <numFmt numFmtId="189" formatCode="_-* #,##0.000_-;\-* #,##0.000_-;_-* &quot;-&quot;??_-;_-@_-"/>
    <numFmt numFmtId="190" formatCode="_-* #,##0.00\ _P_t_s_-;\-* #,##0.00\ _P_t_s_-;_-* &quot;-&quot;??\ _P_t_s_-;_-@_-"/>
    <numFmt numFmtId="191" formatCode="0.00_)"/>
    <numFmt numFmtId="192" formatCode="_-* #,##0\ &quot;€&quot;_-;\-* #,##0\ &quot;€&quot;_-;_-* &quot;-&quot;\ &quot;€&quot;_-;_-@_-"/>
  </numFmts>
  <fonts count="50"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sz val="10"/>
      <color indexed="8"/>
      <name val="Arial"/>
      <family val="2"/>
    </font>
    <font>
      <b/>
      <sz val="10"/>
      <color indexed="8"/>
      <name val="Arial"/>
      <family val="2"/>
    </font>
    <font>
      <sz val="8"/>
      <name val="Arial"/>
      <family val="2"/>
    </font>
    <font>
      <sz val="10"/>
      <name val="MS Sans Serif"/>
      <family val="2"/>
    </font>
    <font>
      <sz val="10"/>
      <color theme="0"/>
      <name val="Arial"/>
      <family val="2"/>
    </font>
    <font>
      <sz val="12"/>
      <name val="Courier"/>
      <family val="3"/>
    </font>
    <font>
      <sz val="10"/>
      <name val="Calibri"/>
      <family val="2"/>
    </font>
    <font>
      <sz val="10"/>
      <color rgb="FFFF0000"/>
      <name val="Arial"/>
      <family val="2"/>
    </font>
    <font>
      <sz val="10"/>
      <color indexed="10"/>
      <name val="Arial"/>
      <family val="2"/>
    </font>
    <font>
      <b/>
      <sz val="11"/>
      <color indexed="8"/>
      <name val="Arial"/>
      <family val="2"/>
    </font>
    <font>
      <b/>
      <sz val="12"/>
      <color indexed="12"/>
      <name val="Arial"/>
      <family val="2"/>
    </font>
    <font>
      <b/>
      <sz val="10"/>
      <color indexed="12"/>
      <name val="Arial"/>
      <family val="2"/>
    </font>
    <font>
      <sz val="10"/>
      <color indexed="12"/>
      <name val="Arial"/>
      <family val="2"/>
    </font>
    <font>
      <b/>
      <sz val="11"/>
      <color indexed="12"/>
      <name val="Arial"/>
      <family val="2"/>
    </font>
    <font>
      <b/>
      <sz val="10"/>
      <color rgb="FF0000FF"/>
      <name val="Arial"/>
      <family val="2"/>
    </font>
    <font>
      <b/>
      <sz val="10"/>
      <color rgb="FFFF0000"/>
      <name val="Arial"/>
      <family val="2"/>
    </font>
    <font>
      <sz val="10"/>
      <name val="Tms Rmn"/>
    </font>
    <font>
      <b/>
      <sz val="10"/>
      <color rgb="FF000099"/>
      <name val="Arial"/>
      <family val="2"/>
    </font>
    <font>
      <strike/>
      <sz val="10"/>
      <color indexed="8"/>
      <name val="Arial"/>
      <family val="2"/>
    </font>
    <font>
      <u/>
      <sz val="10"/>
      <color indexed="8"/>
      <name val="Arial"/>
      <family val="2"/>
    </font>
    <font>
      <sz val="10"/>
      <name val="Times New Roman"/>
      <family val="1"/>
    </font>
    <font>
      <b/>
      <u/>
      <sz val="10"/>
      <color indexed="8"/>
      <name val="Arial"/>
      <family val="2"/>
    </font>
    <font>
      <b/>
      <u/>
      <sz val="11"/>
      <color indexed="12"/>
      <name val="Arial"/>
      <family val="2"/>
    </font>
    <font>
      <sz val="10"/>
      <color indexed="18"/>
      <name val="Arial"/>
      <family val="2"/>
    </font>
    <font>
      <b/>
      <sz val="10"/>
      <color indexed="18"/>
      <name val="Arial"/>
      <family val="2"/>
    </font>
    <font>
      <sz val="11"/>
      <name val="Arial"/>
      <family val="2"/>
    </font>
    <font>
      <b/>
      <sz val="11"/>
      <name val="Arial"/>
      <family val="2"/>
    </font>
    <font>
      <b/>
      <sz val="10"/>
      <color indexed="10"/>
      <name val="Arial"/>
      <family val="2"/>
    </font>
    <font>
      <sz val="10"/>
      <color indexed="8"/>
      <name val="Courier"/>
      <family val="3"/>
    </font>
    <font>
      <b/>
      <sz val="10"/>
      <color rgb="FF0033CC"/>
      <name val="Arial"/>
      <family val="2"/>
    </font>
    <font>
      <b/>
      <sz val="10"/>
      <color rgb="FF0066FF"/>
      <name val="Arial"/>
      <family val="2"/>
    </font>
    <font>
      <b/>
      <sz val="10"/>
      <color rgb="FF003399"/>
      <name val="Arial"/>
      <family val="2"/>
    </font>
    <font>
      <sz val="8"/>
      <color indexed="18"/>
      <name val="Arial"/>
      <family val="2"/>
    </font>
    <font>
      <b/>
      <sz val="11"/>
      <color theme="1"/>
      <name val="Arial"/>
      <family val="2"/>
    </font>
    <font>
      <b/>
      <sz val="10"/>
      <color theme="1"/>
      <name val="Arial"/>
      <family val="2"/>
    </font>
    <font>
      <b/>
      <sz val="9"/>
      <name val="Arial"/>
      <family val="2"/>
    </font>
    <font>
      <sz val="9"/>
      <name val="Arial"/>
      <family val="2"/>
    </font>
    <font>
      <b/>
      <sz val="8"/>
      <name val="Arial"/>
      <family val="2"/>
    </font>
    <font>
      <b/>
      <sz val="10"/>
      <name val="Times New Roman"/>
      <family val="1"/>
    </font>
    <font>
      <sz val="10"/>
      <color rgb="FFFF0000"/>
      <name val="Times New Roman"/>
      <family val="1"/>
    </font>
    <font>
      <b/>
      <sz val="10"/>
      <name val="Perpetua"/>
      <family val="1"/>
    </font>
    <font>
      <b/>
      <sz val="14"/>
      <color indexed="8"/>
      <name val="Arial"/>
      <family val="2"/>
    </font>
    <font>
      <b/>
      <sz val="8"/>
      <name val="Times New Roman"/>
      <family val="1"/>
    </font>
    <font>
      <vertAlign val="superscript"/>
      <sz val="10"/>
      <color indexed="8"/>
      <name val="Arial"/>
      <family val="2"/>
    </font>
    <font>
      <vertAlign val="superscript"/>
      <sz val="10"/>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indexed="43"/>
        <bgColor indexed="64"/>
      </patternFill>
    </fill>
    <fill>
      <patternFill patternType="solid">
        <fgColor rgb="FFFFC000"/>
        <bgColor indexed="64"/>
      </patternFill>
    </fill>
    <fill>
      <patternFill patternType="solid">
        <fgColor indexed="42"/>
        <bgColor indexed="64"/>
      </patternFill>
    </fill>
    <fill>
      <patternFill patternType="solid">
        <fgColor theme="5"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s>
  <cellStyleXfs count="56">
    <xf numFmtId="0" fontId="0" fillId="0" borderId="0"/>
    <xf numFmtId="9" fontId="4" fillId="0" borderId="0" applyFont="0" applyFill="0" applyBorder="0" applyAlignment="0" applyProtection="0"/>
    <xf numFmtId="166" fontId="1" fillId="0" borderId="0" applyFont="0" applyFill="0" applyBorder="0" applyAlignment="0" applyProtection="0"/>
    <xf numFmtId="0" fontId="1" fillId="0" borderId="0"/>
    <xf numFmtId="0" fontId="4" fillId="0" borderId="0"/>
    <xf numFmtId="166" fontId="4" fillId="0" borderId="0" applyFont="0" applyFill="0" applyBorder="0" applyAlignment="0" applyProtection="0"/>
    <xf numFmtId="0" fontId="4" fillId="0" borderId="0"/>
    <xf numFmtId="169"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0" fontId="7" fillId="0" borderId="0"/>
    <xf numFmtId="0" fontId="4" fillId="0" borderId="0"/>
    <xf numFmtId="0" fontId="4" fillId="0" borderId="0"/>
    <xf numFmtId="0" fontId="8" fillId="0" borderId="0"/>
    <xf numFmtId="0" fontId="4" fillId="0" borderId="0"/>
    <xf numFmtId="166" fontId="4" fillId="0" borderId="0" applyFont="0" applyFill="0" applyBorder="0" applyAlignment="0" applyProtection="0"/>
    <xf numFmtId="0" fontId="4" fillId="0" borderId="0"/>
    <xf numFmtId="178" fontId="4" fillId="0" borderId="0" applyFont="0" applyFill="0" applyBorder="0" applyAlignment="0" applyProtection="0"/>
    <xf numFmtId="39" fontId="10" fillId="0" borderId="0"/>
    <xf numFmtId="0" fontId="4" fillId="0" borderId="0"/>
    <xf numFmtId="43"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39" fontId="21" fillId="0" borderId="0"/>
    <xf numFmtId="43" fontId="4" fillId="0" borderId="0" applyFont="0" applyFill="0" applyBorder="0" applyAlignment="0" applyProtection="0"/>
    <xf numFmtId="0" fontId="8"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0" fontId="4" fillId="0" borderId="0"/>
    <xf numFmtId="190"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43" fontId="4" fillId="0" borderId="0" applyFont="0" applyFill="0" applyBorder="0" applyAlignment="0" applyProtection="0"/>
    <xf numFmtId="0" fontId="10" fillId="0" borderId="0"/>
    <xf numFmtId="0" fontId="4" fillId="0" borderId="0"/>
    <xf numFmtId="0" fontId="4" fillId="0" borderId="0"/>
    <xf numFmtId="192" fontId="4" fillId="0" borderId="0" applyFont="0" applyFill="0" applyBorder="0" applyAlignment="0" applyProtection="0"/>
    <xf numFmtId="0" fontId="3" fillId="0" borderId="0"/>
    <xf numFmtId="43" fontId="3" fillId="0" borderId="0" applyFont="0" applyFill="0" applyBorder="0" applyAlignment="0" applyProtection="0"/>
    <xf numFmtId="0" fontId="1" fillId="0" borderId="0"/>
    <xf numFmtId="16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cellStyleXfs>
  <cellXfs count="1740">
    <xf numFmtId="0" fontId="0" fillId="0" borderId="0" xfId="0"/>
    <xf numFmtId="0" fontId="3" fillId="0" borderId="0" xfId="3" applyFont="1" applyAlignment="1">
      <alignment vertical="center"/>
    </xf>
    <xf numFmtId="166" fontId="4" fillId="2" borderId="0" xfId="2" applyFont="1" applyFill="1" applyBorder="1" applyAlignment="1">
      <alignment horizontal="center" vertical="center"/>
    </xf>
    <xf numFmtId="0" fontId="3" fillId="0" borderId="0" xfId="3" applyFont="1" applyAlignment="1">
      <alignment horizontal="right" vertical="center"/>
    </xf>
    <xf numFmtId="166" fontId="4" fillId="2" borderId="2" xfId="2" applyFont="1" applyFill="1" applyBorder="1" applyAlignment="1" applyProtection="1">
      <alignment horizontal="right" vertical="top" wrapText="1"/>
      <protection locked="0"/>
    </xf>
    <xf numFmtId="43" fontId="3" fillId="0" borderId="0" xfId="3" applyNumberFormat="1" applyFont="1" applyAlignment="1">
      <alignment vertical="center"/>
    </xf>
    <xf numFmtId="4" fontId="3" fillId="0" borderId="0" xfId="3" applyNumberFormat="1" applyFont="1" applyAlignment="1">
      <alignment vertical="center"/>
    </xf>
    <xf numFmtId="174" fontId="4" fillId="2" borderId="2" xfId="4" applyNumberFormat="1" applyFont="1" applyFill="1" applyBorder="1" applyAlignment="1" applyProtection="1">
      <alignment horizontal="right" vertical="top"/>
    </xf>
    <xf numFmtId="39" fontId="4" fillId="2" borderId="2" xfId="4" applyNumberFormat="1" applyFont="1" applyFill="1" applyBorder="1" applyAlignment="1" applyProtection="1">
      <alignment horizontal="right" vertical="top" wrapText="1"/>
      <protection locked="0"/>
    </xf>
    <xf numFmtId="174" fontId="4" fillId="2" borderId="2" xfId="4" applyNumberFormat="1" applyFont="1" applyFill="1" applyBorder="1" applyAlignment="1" applyProtection="1">
      <alignment horizontal="right" vertical="center"/>
    </xf>
    <xf numFmtId="174" fontId="4" fillId="2" borderId="5" xfId="4" applyNumberFormat="1" applyFont="1" applyFill="1" applyBorder="1" applyAlignment="1" applyProtection="1">
      <alignment horizontal="right" vertical="top"/>
    </xf>
    <xf numFmtId="39" fontId="3" fillId="2" borderId="2" xfId="4" applyNumberFormat="1" applyFont="1" applyFill="1" applyBorder="1" applyAlignment="1" applyProtection="1">
      <alignment horizontal="right" vertical="top" wrapText="1"/>
      <protection locked="0"/>
    </xf>
    <xf numFmtId="1" fontId="3" fillId="0" borderId="0" xfId="3" applyNumberFormat="1" applyFont="1" applyAlignment="1">
      <alignment vertical="center"/>
    </xf>
    <xf numFmtId="0" fontId="3" fillId="2" borderId="0" xfId="3" applyFont="1" applyFill="1" applyAlignment="1">
      <alignment vertical="center"/>
    </xf>
    <xf numFmtId="43" fontId="3" fillId="2" borderId="0" xfId="3" applyNumberFormat="1" applyFont="1" applyFill="1" applyAlignment="1">
      <alignment vertical="center"/>
    </xf>
    <xf numFmtId="0" fontId="4" fillId="2" borderId="0" xfId="3" applyFont="1" applyFill="1" applyBorder="1" applyAlignment="1">
      <alignment vertical="top"/>
    </xf>
    <xf numFmtId="167" fontId="4" fillId="2" borderId="0" xfId="2" applyNumberFormat="1" applyFont="1" applyFill="1" applyBorder="1" applyAlignment="1">
      <alignment horizontal="center" vertical="center"/>
    </xf>
    <xf numFmtId="0" fontId="4" fillId="2" borderId="0" xfId="3" applyFont="1" applyFill="1" applyBorder="1" applyAlignment="1">
      <alignment vertical="center"/>
    </xf>
    <xf numFmtId="166" fontId="9" fillId="2" borderId="0" xfId="2" applyFont="1" applyFill="1" applyBorder="1" applyAlignment="1">
      <alignment horizontal="center" vertical="center"/>
    </xf>
    <xf numFmtId="166" fontId="9" fillId="2" borderId="0" xfId="2" applyFont="1" applyFill="1" applyBorder="1" applyAlignment="1">
      <alignment vertical="center"/>
    </xf>
    <xf numFmtId="2" fontId="4" fillId="2" borderId="0" xfId="18" applyNumberFormat="1" applyFont="1" applyFill="1" applyBorder="1" applyAlignment="1">
      <alignment vertical="top"/>
    </xf>
    <xf numFmtId="39" fontId="2" fillId="2" borderId="0" xfId="4" applyNumberFormat="1" applyFont="1" applyFill="1" applyBorder="1" applyAlignment="1">
      <alignment vertical="top"/>
    </xf>
    <xf numFmtId="0" fontId="4" fillId="2" borderId="0" xfId="18" applyNumberFormat="1" applyFont="1" applyFill="1" applyBorder="1" applyAlignment="1">
      <alignment vertical="top"/>
    </xf>
    <xf numFmtId="0" fontId="4" fillId="2" borderId="0" xfId="18" applyNumberFormat="1" applyFont="1" applyFill="1" applyBorder="1" applyAlignment="1">
      <alignment horizontal="center" vertical="top"/>
    </xf>
    <xf numFmtId="39" fontId="4" fillId="2" borderId="0" xfId="18" applyFont="1" applyFill="1" applyBorder="1" applyAlignment="1">
      <alignment vertical="top" wrapText="1"/>
    </xf>
    <xf numFmtId="39" fontId="4" fillId="2" borderId="0" xfId="18" applyNumberFormat="1" applyFont="1" applyFill="1" applyBorder="1" applyAlignment="1">
      <alignment horizontal="center" vertical="top"/>
    </xf>
    <xf numFmtId="43" fontId="4" fillId="2" borderId="0" xfId="18" applyNumberFormat="1" applyFont="1" applyFill="1" applyBorder="1" applyAlignment="1">
      <alignment horizontal="center" vertical="top"/>
    </xf>
    <xf numFmtId="4" fontId="4" fillId="2" borderId="0" xfId="4" applyNumberFormat="1" applyFont="1" applyFill="1" applyBorder="1" applyAlignment="1">
      <alignment horizontal="right"/>
    </xf>
    <xf numFmtId="2" fontId="4" fillId="2" borderId="0" xfId="11" applyNumberFormat="1" applyFont="1" applyFill="1" applyBorder="1" applyAlignment="1">
      <alignment horizontal="left" vertical="top"/>
    </xf>
    <xf numFmtId="0" fontId="4" fillId="2" borderId="0" xfId="11" applyNumberFormat="1" applyFont="1" applyFill="1" applyBorder="1" applyAlignment="1">
      <alignment horizontal="left" vertical="top"/>
    </xf>
    <xf numFmtId="0" fontId="4" fillId="2" borderId="0" xfId="11" applyNumberFormat="1" applyFont="1" applyFill="1" applyBorder="1" applyAlignment="1">
      <alignment vertical="top"/>
    </xf>
    <xf numFmtId="43" fontId="4" fillId="2" borderId="0" xfId="11" applyNumberFormat="1" applyFont="1" applyFill="1" applyBorder="1" applyAlignment="1">
      <alignment horizontal="left" vertical="top"/>
    </xf>
    <xf numFmtId="2" fontId="4" fillId="2" borderId="0" xfId="11" applyNumberFormat="1" applyFont="1" applyFill="1" applyBorder="1" applyAlignment="1">
      <alignment horizontal="right" vertical="top" wrapText="1"/>
    </xf>
    <xf numFmtId="4" fontId="4" fillId="2" borderId="0" xfId="11" applyNumberFormat="1" applyFont="1" applyFill="1" applyBorder="1" applyAlignment="1">
      <alignment horizontal="left" vertical="top" wrapText="1"/>
    </xf>
    <xf numFmtId="0" fontId="4" fillId="2" borderId="0" xfId="11" applyFont="1" applyFill="1" applyBorder="1" applyAlignment="1">
      <alignment horizontal="left" vertical="top" wrapText="1"/>
    </xf>
    <xf numFmtId="43" fontId="4" fillId="2" borderId="0" xfId="11" applyNumberFormat="1" applyFont="1" applyFill="1" applyBorder="1" applyAlignment="1">
      <alignment horizontal="left" vertical="top" wrapText="1"/>
    </xf>
    <xf numFmtId="2" fontId="4" fillId="2" borderId="0" xfId="4" applyNumberFormat="1" applyFont="1" applyFill="1" applyBorder="1"/>
    <xf numFmtId="2" fontId="4" fillId="2" borderId="0" xfId="11" quotePrefix="1" applyNumberFormat="1" applyFont="1" applyFill="1" applyBorder="1" applyAlignment="1">
      <alignment horizontal="left" vertical="top"/>
    </xf>
    <xf numFmtId="0" fontId="4" fillId="2" borderId="0" xfId="11" applyFont="1" applyFill="1" applyBorder="1" applyAlignment="1">
      <alignment horizontal="left" vertical="top"/>
    </xf>
    <xf numFmtId="166" fontId="4" fillId="2" borderId="0" xfId="2" applyFont="1" applyFill="1" applyBorder="1" applyAlignment="1">
      <alignment vertical="center"/>
    </xf>
    <xf numFmtId="0" fontId="4" fillId="2" borderId="0" xfId="0" applyFont="1" applyFill="1" applyAlignment="1">
      <alignment vertical="top"/>
    </xf>
    <xf numFmtId="179" fontId="6" fillId="0" borderId="4" xfId="0" applyNumberFormat="1" applyFont="1" applyFill="1" applyBorder="1" applyAlignment="1" applyProtection="1">
      <alignment horizontal="right" vertical="top"/>
    </xf>
    <xf numFmtId="4" fontId="0" fillId="0" borderId="0" xfId="0" applyNumberFormat="1" applyAlignment="1">
      <alignment vertical="top"/>
    </xf>
    <xf numFmtId="0" fontId="4" fillId="0" borderId="0" xfId="0" applyFont="1" applyFill="1" applyBorder="1"/>
    <xf numFmtId="179" fontId="5" fillId="0" borderId="4" xfId="0" applyNumberFormat="1" applyFont="1" applyFill="1" applyBorder="1" applyAlignment="1" applyProtection="1">
      <alignment horizontal="right" vertical="top"/>
    </xf>
    <xf numFmtId="179" fontId="4" fillId="0" borderId="4" xfId="0" applyNumberFormat="1" applyFont="1" applyFill="1" applyBorder="1" applyAlignment="1" applyProtection="1">
      <alignment horizontal="right" vertical="top"/>
    </xf>
    <xf numFmtId="39" fontId="3" fillId="2" borderId="2" xfId="19" applyNumberFormat="1" applyFont="1" applyFill="1" applyBorder="1" applyAlignment="1" applyProtection="1">
      <alignment vertical="top" wrapText="1"/>
      <protection locked="0"/>
    </xf>
    <xf numFmtId="0" fontId="0" fillId="0" borderId="0" xfId="0" applyAlignment="1">
      <alignment vertical="top"/>
    </xf>
    <xf numFmtId="4" fontId="4" fillId="0" borderId="0" xfId="0" applyNumberFormat="1" applyFont="1" applyFill="1" applyBorder="1"/>
    <xf numFmtId="179" fontId="12" fillId="0" borderId="4" xfId="0" applyNumberFormat="1" applyFont="1" applyFill="1" applyBorder="1" applyAlignment="1" applyProtection="1">
      <alignment horizontal="right" vertical="top"/>
    </xf>
    <xf numFmtId="0" fontId="12" fillId="0" borderId="0" xfId="0" applyFont="1" applyFill="1" applyBorder="1"/>
    <xf numFmtId="179" fontId="2" fillId="0" borderId="4" xfId="0" applyNumberFormat="1" applyFont="1" applyFill="1" applyBorder="1" applyAlignment="1" applyProtection="1">
      <alignment horizontal="right" vertical="top"/>
    </xf>
    <xf numFmtId="43" fontId="4" fillId="0" borderId="0" xfId="4" applyNumberFormat="1" applyFill="1"/>
    <xf numFmtId="0" fontId="4" fillId="0" borderId="0" xfId="4" applyFill="1" applyBorder="1"/>
    <xf numFmtId="0" fontId="4" fillId="0" borderId="0" xfId="4" applyFill="1"/>
    <xf numFmtId="0" fontId="4" fillId="0" borderId="0" xfId="4" applyBorder="1"/>
    <xf numFmtId="0" fontId="4" fillId="0" borderId="0" xfId="4"/>
    <xf numFmtId="4" fontId="4" fillId="6" borderId="0" xfId="0" applyNumberFormat="1" applyFont="1" applyFill="1" applyBorder="1"/>
    <xf numFmtId="4" fontId="13" fillId="6" borderId="0" xfId="0" applyNumberFormat="1" applyFont="1" applyFill="1" applyBorder="1"/>
    <xf numFmtId="0" fontId="4" fillId="6" borderId="0" xfId="0" applyFont="1" applyFill="1" applyBorder="1"/>
    <xf numFmtId="0" fontId="4" fillId="6" borderId="2" xfId="0" applyFont="1" applyFill="1" applyBorder="1"/>
    <xf numFmtId="4" fontId="4" fillId="2" borderId="0" xfId="0" applyNumberFormat="1" applyFont="1" applyFill="1" applyBorder="1" applyAlignment="1" applyProtection="1">
      <alignment vertical="top"/>
      <protection locked="0"/>
    </xf>
    <xf numFmtId="43" fontId="4" fillId="0" borderId="0" xfId="4" applyNumberFormat="1" applyFill="1" applyBorder="1"/>
    <xf numFmtId="43" fontId="4" fillId="0" borderId="0" xfId="20" applyFont="1" applyFill="1" applyBorder="1"/>
    <xf numFmtId="43" fontId="4" fillId="6" borderId="0" xfId="20" applyFont="1" applyFill="1" applyBorder="1"/>
    <xf numFmtId="43" fontId="4" fillId="2" borderId="0" xfId="20" applyFont="1" applyFill="1" applyBorder="1" applyAlignment="1" applyProtection="1">
      <alignment vertical="top"/>
      <protection locked="0"/>
    </xf>
    <xf numFmtId="4" fontId="5" fillId="6" borderId="0" xfId="23" applyNumberFormat="1" applyFont="1" applyFill="1"/>
    <xf numFmtId="2" fontId="5" fillId="6" borderId="0" xfId="23" applyNumberFormat="1" applyFont="1" applyFill="1"/>
    <xf numFmtId="0" fontId="5" fillId="6" borderId="0" xfId="23" applyFont="1" applyFill="1"/>
    <xf numFmtId="0" fontId="5" fillId="6" borderId="0" xfId="23" applyFont="1" applyFill="1" applyAlignment="1">
      <alignment horizontal="center"/>
    </xf>
    <xf numFmtId="4" fontId="5" fillId="6" borderId="0" xfId="23" applyNumberFormat="1" applyFont="1" applyFill="1" applyAlignment="1">
      <alignment horizontal="center" vertical="center"/>
    </xf>
    <xf numFmtId="9" fontId="5" fillId="6" borderId="0" xfId="23" applyNumberFormat="1" applyFont="1" applyFill="1"/>
    <xf numFmtId="0" fontId="5" fillId="6" borderId="0" xfId="23" applyFont="1" applyFill="1" applyAlignment="1">
      <alignment vertical="top"/>
    </xf>
    <xf numFmtId="0" fontId="5" fillId="6" borderId="0" xfId="23" applyFont="1" applyFill="1" applyAlignment="1">
      <alignment horizontal="left" vertical="top"/>
    </xf>
    <xf numFmtId="0" fontId="2" fillId="6" borderId="0" xfId="23" applyFont="1" applyFill="1" applyBorder="1" applyAlignment="1">
      <alignment horizontal="center"/>
    </xf>
    <xf numFmtId="0" fontId="2" fillId="6" borderId="0" xfId="23" applyFont="1" applyFill="1" applyBorder="1" applyAlignment="1">
      <alignment horizontal="right"/>
    </xf>
    <xf numFmtId="0" fontId="4" fillId="6" borderId="0" xfId="23" applyFont="1" applyFill="1" applyBorder="1" applyAlignment="1">
      <alignment horizontal="left"/>
    </xf>
    <xf numFmtId="0" fontId="4" fillId="6" borderId="0" xfId="23" applyFont="1" applyFill="1" applyBorder="1" applyAlignment="1">
      <alignment horizontal="center"/>
    </xf>
    <xf numFmtId="181" fontId="4" fillId="6" borderId="0" xfId="23" applyNumberFormat="1" applyFont="1" applyFill="1" applyBorder="1" applyAlignment="1">
      <alignment horizontal="left"/>
    </xf>
    <xf numFmtId="0" fontId="5" fillId="6" borderId="0" xfId="23" applyFont="1" applyFill="1" applyAlignment="1">
      <alignment horizontal="left"/>
    </xf>
    <xf numFmtId="0" fontId="17" fillId="6" borderId="0" xfId="23" applyFont="1" applyFill="1" applyBorder="1" applyAlignment="1">
      <alignment horizontal="center"/>
    </xf>
    <xf numFmtId="0" fontId="2" fillId="6" borderId="9" xfId="23" applyFont="1" applyFill="1" applyBorder="1" applyAlignment="1">
      <alignment horizontal="right"/>
    </xf>
    <xf numFmtId="0" fontId="4" fillId="6" borderId="9" xfId="23" applyFont="1" applyFill="1" applyBorder="1" applyAlignment="1">
      <alignment horizontal="left"/>
    </xf>
    <xf numFmtId="0" fontId="6" fillId="7" borderId="10" xfId="23" applyFont="1" applyFill="1" applyBorder="1" applyAlignment="1">
      <alignment horizontal="center"/>
    </xf>
    <xf numFmtId="0" fontId="6" fillId="7" borderId="11" xfId="23" applyFont="1" applyFill="1" applyBorder="1" applyAlignment="1">
      <alignment horizontal="center" vertical="center" wrapText="1"/>
    </xf>
    <xf numFmtId="0" fontId="6" fillId="7" borderId="10" xfId="23" applyFont="1" applyFill="1" applyBorder="1" applyAlignment="1">
      <alignment horizontal="center" vertical="center" wrapText="1"/>
    </xf>
    <xf numFmtId="4" fontId="6" fillId="6" borderId="0" xfId="23" applyNumberFormat="1" applyFont="1" applyFill="1" applyBorder="1" applyAlignment="1">
      <alignment horizontal="center"/>
    </xf>
    <xf numFmtId="0" fontId="5" fillId="6" borderId="12" xfId="23" applyFont="1" applyFill="1" applyBorder="1"/>
    <xf numFmtId="0" fontId="6" fillId="6" borderId="12" xfId="23" applyFont="1" applyFill="1" applyBorder="1" applyAlignment="1">
      <alignment horizontal="center" vertical="center" wrapText="1"/>
    </xf>
    <xf numFmtId="0" fontId="18" fillId="7" borderId="9" xfId="23" applyFont="1" applyFill="1" applyBorder="1" applyAlignment="1">
      <alignment horizontal="center"/>
    </xf>
    <xf numFmtId="0" fontId="5" fillId="6" borderId="13" xfId="23" applyFont="1" applyFill="1" applyBorder="1" applyAlignment="1">
      <alignment horizontal="right"/>
    </xf>
    <xf numFmtId="0" fontId="5" fillId="6" borderId="14" xfId="23" applyFont="1" applyFill="1" applyBorder="1" applyAlignment="1">
      <alignment horizontal="left"/>
    </xf>
    <xf numFmtId="4" fontId="5" fillId="6" borderId="15" xfId="24" applyNumberFormat="1" applyFont="1" applyFill="1" applyBorder="1"/>
    <xf numFmtId="169" fontId="5" fillId="6" borderId="15" xfId="25" applyFont="1" applyFill="1" applyBorder="1" applyAlignment="1">
      <alignment horizontal="center"/>
    </xf>
    <xf numFmtId="4" fontId="5" fillId="6" borderId="16" xfId="24" applyNumberFormat="1" applyFont="1" applyFill="1" applyBorder="1"/>
    <xf numFmtId="4" fontId="5" fillId="6" borderId="0" xfId="25" applyNumberFormat="1" applyFont="1" applyFill="1" applyBorder="1"/>
    <xf numFmtId="0" fontId="5" fillId="6" borderId="17" xfId="23" applyFont="1" applyFill="1" applyBorder="1" applyAlignment="1">
      <alignment horizontal="right"/>
    </xf>
    <xf numFmtId="0" fontId="5" fillId="2" borderId="18" xfId="23" applyFont="1" applyFill="1" applyBorder="1" applyAlignment="1">
      <alignment horizontal="left"/>
    </xf>
    <xf numFmtId="4" fontId="5" fillId="6" borderId="1" xfId="24" applyNumberFormat="1" applyFont="1" applyFill="1" applyBorder="1"/>
    <xf numFmtId="169" fontId="5" fillId="6" borderId="1" xfId="25" applyFont="1" applyFill="1" applyBorder="1" applyAlignment="1">
      <alignment horizontal="center"/>
    </xf>
    <xf numFmtId="4" fontId="5" fillId="6" borderId="19" xfId="24" applyNumberFormat="1" applyFont="1" applyFill="1" applyBorder="1"/>
    <xf numFmtId="0" fontId="5" fillId="6" borderId="18" xfId="23" applyFont="1" applyFill="1" applyBorder="1" applyAlignment="1">
      <alignment horizontal="left"/>
    </xf>
    <xf numFmtId="4" fontId="5" fillId="8" borderId="1" xfId="24" applyNumberFormat="1" applyFont="1" applyFill="1" applyBorder="1"/>
    <xf numFmtId="0" fontId="5" fillId="9" borderId="18" xfId="23" applyFont="1" applyFill="1" applyBorder="1" applyAlignment="1">
      <alignment horizontal="left"/>
    </xf>
    <xf numFmtId="0" fontId="5" fillId="6" borderId="20" xfId="23" applyFont="1" applyFill="1" applyBorder="1" applyAlignment="1">
      <alignment horizontal="left"/>
    </xf>
    <xf numFmtId="0" fontId="5" fillId="6" borderId="1" xfId="23" applyFont="1" applyFill="1" applyBorder="1" applyAlignment="1">
      <alignment horizontal="left"/>
    </xf>
    <xf numFmtId="4" fontId="5" fillId="6" borderId="7" xfId="24" applyNumberFormat="1" applyFont="1" applyFill="1" applyBorder="1"/>
    <xf numFmtId="182" fontId="5" fillId="6" borderId="7" xfId="24" applyNumberFormat="1" applyFont="1" applyFill="1" applyBorder="1"/>
    <xf numFmtId="182" fontId="5" fillId="6" borderId="19" xfId="24" applyNumberFormat="1" applyFont="1" applyFill="1" applyBorder="1"/>
    <xf numFmtId="4" fontId="6" fillId="8" borderId="7" xfId="24" applyNumberFormat="1" applyFont="1" applyFill="1" applyBorder="1"/>
    <xf numFmtId="0" fontId="2" fillId="2" borderId="1" xfId="23" applyFont="1" applyFill="1" applyBorder="1" applyAlignment="1">
      <alignment horizontal="center" vertical="top"/>
    </xf>
    <xf numFmtId="4" fontId="19" fillId="6" borderId="7" xfId="24" applyNumberFormat="1" applyFont="1" applyFill="1" applyBorder="1" applyAlignment="1">
      <alignment horizontal="left" vertical="top"/>
    </xf>
    <xf numFmtId="10" fontId="20" fillId="2" borderId="21" xfId="24" applyNumberFormat="1" applyFont="1" applyFill="1" applyBorder="1" applyAlignment="1">
      <alignment horizontal="left"/>
    </xf>
    <xf numFmtId="0" fontId="6" fillId="6" borderId="17" xfId="23" applyFont="1" applyFill="1" applyBorder="1" applyAlignment="1">
      <alignment horizontal="right"/>
    </xf>
    <xf numFmtId="0" fontId="2" fillId="2" borderId="1" xfId="23" applyFont="1" applyFill="1" applyBorder="1" applyAlignment="1">
      <alignment vertical="top"/>
    </xf>
    <xf numFmtId="4" fontId="2" fillId="2" borderId="1" xfId="23" applyNumberFormat="1" applyFont="1" applyFill="1" applyBorder="1" applyAlignment="1">
      <alignment vertical="top"/>
    </xf>
    <xf numFmtId="0" fontId="4" fillId="2" borderId="1" xfId="23" applyFont="1" applyFill="1" applyBorder="1" applyAlignment="1">
      <alignment vertical="top"/>
    </xf>
    <xf numFmtId="166" fontId="4" fillId="2" borderId="19" xfId="8" applyNumberFormat="1" applyFont="1" applyFill="1" applyBorder="1" applyAlignment="1">
      <alignment vertical="top"/>
    </xf>
    <xf numFmtId="0" fontId="5" fillId="6" borderId="0" xfId="23" applyFont="1" applyFill="1" applyAlignment="1">
      <alignment horizontal="right" vertical="top"/>
    </xf>
    <xf numFmtId="10" fontId="5" fillId="8" borderId="17" xfId="23" applyNumberFormat="1" applyFont="1" applyFill="1" applyBorder="1" applyAlignment="1">
      <alignment horizontal="right"/>
    </xf>
    <xf numFmtId="4" fontId="4" fillId="2" borderId="1" xfId="23" applyNumberFormat="1" applyFont="1" applyFill="1" applyBorder="1" applyAlignment="1">
      <alignment horizontal="right" vertical="top"/>
    </xf>
    <xf numFmtId="0" fontId="4" fillId="2" borderId="1" xfId="23" applyFont="1" applyFill="1" applyBorder="1" applyAlignment="1">
      <alignment horizontal="center" vertical="top"/>
    </xf>
    <xf numFmtId="4" fontId="4" fillId="2" borderId="1" xfId="23" applyNumberFormat="1" applyFont="1" applyFill="1" applyBorder="1" applyAlignment="1">
      <alignment vertical="top"/>
    </xf>
    <xf numFmtId="171" fontId="4" fillId="2" borderId="19" xfId="8" applyNumberFormat="1" applyFont="1" applyFill="1" applyBorder="1" applyAlignment="1">
      <alignment vertical="top" wrapText="1"/>
    </xf>
    <xf numFmtId="0" fontId="4" fillId="2" borderId="0" xfId="23" applyFont="1" applyFill="1" applyBorder="1" applyAlignment="1">
      <alignment horizontal="right" vertical="top"/>
    </xf>
    <xf numFmtId="10" fontId="5" fillId="6" borderId="0" xfId="23" applyNumberFormat="1" applyFont="1" applyFill="1"/>
    <xf numFmtId="0" fontId="5" fillId="6" borderId="17" xfId="23" applyFont="1" applyFill="1" applyBorder="1"/>
    <xf numFmtId="0" fontId="2" fillId="2" borderId="1" xfId="23" applyFont="1" applyFill="1" applyBorder="1" applyAlignment="1">
      <alignment horizontal="right" vertical="top"/>
    </xf>
    <xf numFmtId="171" fontId="2" fillId="2" borderId="19" xfId="8" applyNumberFormat="1" applyFont="1" applyFill="1" applyBorder="1" applyAlignment="1">
      <alignment vertical="top" wrapText="1"/>
    </xf>
    <xf numFmtId="10" fontId="20" fillId="2" borderId="21" xfId="24" applyNumberFormat="1" applyFont="1" applyFill="1" applyBorder="1" applyAlignment="1">
      <alignment horizontal="right"/>
    </xf>
    <xf numFmtId="0" fontId="5" fillId="6" borderId="0" xfId="23" applyFont="1" applyFill="1" applyBorder="1"/>
    <xf numFmtId="0" fontId="5" fillId="6" borderId="0" xfId="23" applyFont="1" applyFill="1" applyBorder="1" applyAlignment="1">
      <alignment horizontal="left"/>
    </xf>
    <xf numFmtId="169" fontId="5" fillId="6" borderId="0" xfId="24" applyFont="1" applyFill="1" applyBorder="1"/>
    <xf numFmtId="169" fontId="5" fillId="6" borderId="0" xfId="25" applyFont="1" applyFill="1" applyBorder="1" applyAlignment="1">
      <alignment horizontal="center"/>
    </xf>
    <xf numFmtId="0" fontId="5" fillId="6" borderId="22" xfId="23" applyFont="1" applyFill="1" applyBorder="1"/>
    <xf numFmtId="0" fontId="6" fillId="2" borderId="15" xfId="23" applyFont="1" applyFill="1" applyBorder="1" applyAlignment="1">
      <alignment horizontal="left"/>
    </xf>
    <xf numFmtId="169" fontId="6" fillId="8" borderId="15" xfId="24" applyFont="1" applyFill="1" applyBorder="1"/>
    <xf numFmtId="169" fontId="5" fillId="6" borderId="15" xfId="24" applyFont="1" applyFill="1" applyBorder="1"/>
    <xf numFmtId="2" fontId="5" fillId="6" borderId="16" xfId="23" applyNumberFormat="1" applyFont="1" applyFill="1" applyBorder="1"/>
    <xf numFmtId="0" fontId="6" fillId="6" borderId="1" xfId="23" applyFont="1" applyFill="1" applyBorder="1" applyAlignment="1">
      <alignment horizontal="left"/>
    </xf>
    <xf numFmtId="169" fontId="5" fillId="6" borderId="1" xfId="24" applyFont="1" applyFill="1" applyBorder="1"/>
    <xf numFmtId="2" fontId="5" fillId="6" borderId="19" xfId="23" applyNumberFormat="1" applyFont="1" applyFill="1" applyBorder="1"/>
    <xf numFmtId="0" fontId="5" fillId="6" borderId="23" xfId="23" applyFont="1" applyFill="1" applyBorder="1"/>
    <xf numFmtId="0" fontId="6" fillId="6" borderId="24" xfId="23" applyFont="1" applyFill="1" applyBorder="1" applyAlignment="1">
      <alignment horizontal="left"/>
    </xf>
    <xf numFmtId="169" fontId="6" fillId="8" borderId="24" xfId="24" applyFont="1" applyFill="1" applyBorder="1"/>
    <xf numFmtId="169" fontId="5" fillId="6" borderId="24" xfId="25" applyFont="1" applyFill="1" applyBorder="1" applyAlignment="1">
      <alignment horizontal="center"/>
    </xf>
    <xf numFmtId="169" fontId="5" fillId="6" borderId="24" xfId="24" applyFont="1" applyFill="1" applyBorder="1"/>
    <xf numFmtId="2" fontId="5" fillId="6" borderId="25" xfId="23" applyNumberFormat="1" applyFont="1" applyFill="1" applyBorder="1"/>
    <xf numFmtId="0" fontId="6" fillId="6" borderId="0" xfId="23" applyFont="1" applyFill="1" applyBorder="1" applyAlignment="1">
      <alignment horizontal="left"/>
    </xf>
    <xf numFmtId="0" fontId="5" fillId="6" borderId="15" xfId="23" applyFont="1" applyFill="1" applyBorder="1" applyAlignment="1">
      <alignment horizontal="left"/>
    </xf>
    <xf numFmtId="171" fontId="4" fillId="2" borderId="16" xfId="8" applyNumberFormat="1" applyFont="1" applyFill="1" applyBorder="1" applyAlignment="1">
      <alignment vertical="top" wrapText="1"/>
    </xf>
    <xf numFmtId="0" fontId="5" fillId="6" borderId="24" xfId="23" applyFont="1" applyFill="1" applyBorder="1" applyAlignment="1">
      <alignment horizontal="left"/>
    </xf>
    <xf numFmtId="169" fontId="6" fillId="6" borderId="24" xfId="24" quotePrefix="1" applyFont="1" applyFill="1" applyBorder="1" applyAlignment="1">
      <alignment horizontal="right"/>
    </xf>
    <xf numFmtId="169" fontId="6" fillId="6" borderId="25" xfId="24" applyFont="1" applyFill="1" applyBorder="1"/>
    <xf numFmtId="0" fontId="18" fillId="7" borderId="0" xfId="23" applyFont="1" applyFill="1" applyBorder="1" applyAlignment="1">
      <alignment horizontal="center"/>
    </xf>
    <xf numFmtId="0" fontId="6" fillId="6" borderId="0" xfId="23" applyFont="1" applyFill="1" applyBorder="1" applyAlignment="1">
      <alignment horizontal="right"/>
    </xf>
    <xf numFmtId="0" fontId="6" fillId="6" borderId="9" xfId="23" applyFont="1" applyFill="1" applyBorder="1" applyAlignment="1">
      <alignment horizontal="left"/>
    </xf>
    <xf numFmtId="169" fontId="5" fillId="6" borderId="9" xfId="24" applyFont="1" applyFill="1" applyBorder="1"/>
    <xf numFmtId="0" fontId="5" fillId="6" borderId="9" xfId="23" applyFont="1" applyFill="1" applyBorder="1" applyAlignment="1">
      <alignment horizontal="center"/>
    </xf>
    <xf numFmtId="0" fontId="5" fillId="6" borderId="22" xfId="23" applyFont="1" applyFill="1" applyBorder="1" applyAlignment="1">
      <alignment horizontal="right"/>
    </xf>
    <xf numFmtId="0" fontId="5" fillId="6" borderId="14" xfId="23" applyFont="1" applyFill="1" applyBorder="1"/>
    <xf numFmtId="39" fontId="5" fillId="6" borderId="15" xfId="23" applyNumberFormat="1" applyFont="1" applyFill="1" applyBorder="1" applyAlignment="1">
      <alignment horizontal="center"/>
    </xf>
    <xf numFmtId="0" fontId="5" fillId="6" borderId="18" xfId="23" applyFont="1" applyFill="1" applyBorder="1"/>
    <xf numFmtId="39" fontId="5" fillId="6" borderId="1" xfId="23" applyNumberFormat="1" applyFont="1" applyFill="1" applyBorder="1" applyAlignment="1">
      <alignment horizontal="center"/>
    </xf>
    <xf numFmtId="39" fontId="5" fillId="6" borderId="3" xfId="26" applyFont="1" applyFill="1" applyBorder="1"/>
    <xf numFmtId="4" fontId="5" fillId="6" borderId="2" xfId="27" applyNumberFormat="1" applyFont="1" applyFill="1" applyBorder="1"/>
    <xf numFmtId="39" fontId="5" fillId="6" borderId="2" xfId="26" applyNumberFormat="1" applyFont="1" applyFill="1" applyBorder="1" applyAlignment="1">
      <alignment horizontal="center"/>
    </xf>
    <xf numFmtId="4" fontId="5" fillId="6" borderId="2" xfId="26" applyNumberFormat="1" applyFont="1" applyFill="1" applyBorder="1"/>
    <xf numFmtId="4" fontId="5" fillId="6" borderId="0" xfId="26" applyNumberFormat="1" applyFont="1" applyFill="1"/>
    <xf numFmtId="39" fontId="5" fillId="6" borderId="0" xfId="26" applyFont="1" applyFill="1"/>
    <xf numFmtId="39" fontId="5" fillId="0" borderId="0" xfId="26" applyFont="1"/>
    <xf numFmtId="0" fontId="5" fillId="6" borderId="26" xfId="23" applyFont="1" applyFill="1" applyBorder="1"/>
    <xf numFmtId="39" fontId="6" fillId="6" borderId="27" xfId="23" quotePrefix="1" applyNumberFormat="1" applyFont="1" applyFill="1" applyBorder="1" applyAlignment="1">
      <alignment horizontal="left"/>
    </xf>
    <xf numFmtId="169" fontId="6" fillId="6" borderId="24" xfId="24" quotePrefix="1" applyFont="1" applyFill="1" applyBorder="1" applyAlignment="1">
      <alignment horizontal="left"/>
    </xf>
    <xf numFmtId="39" fontId="5" fillId="6" borderId="24" xfId="23" applyNumberFormat="1" applyFont="1" applyFill="1" applyBorder="1" applyAlignment="1">
      <alignment horizontal="center"/>
    </xf>
    <xf numFmtId="4" fontId="6" fillId="6" borderId="25" xfId="24" applyNumberFormat="1" applyFont="1" applyFill="1" applyBorder="1" applyAlignment="1">
      <alignment horizontal="right"/>
    </xf>
    <xf numFmtId="4" fontId="6" fillId="6" borderId="0" xfId="23" applyNumberFormat="1" applyFont="1" applyFill="1" applyBorder="1"/>
    <xf numFmtId="169" fontId="5" fillId="6" borderId="0" xfId="24" applyFont="1" applyFill="1"/>
    <xf numFmtId="0" fontId="6" fillId="6" borderId="9" xfId="23" quotePrefix="1" applyFont="1" applyFill="1" applyBorder="1" applyAlignment="1">
      <alignment horizontal="left"/>
    </xf>
    <xf numFmtId="0" fontId="5" fillId="6" borderId="28" xfId="23" applyFont="1" applyFill="1" applyBorder="1"/>
    <xf numFmtId="4" fontId="5" fillId="6" borderId="29" xfId="24" applyNumberFormat="1" applyFont="1" applyFill="1" applyBorder="1"/>
    <xf numFmtId="39" fontId="5" fillId="6" borderId="29" xfId="23" applyNumberFormat="1" applyFont="1" applyFill="1" applyBorder="1" applyAlignment="1">
      <alignment horizontal="center"/>
    </xf>
    <xf numFmtId="0" fontId="5" fillId="6" borderId="27" xfId="23" applyFont="1" applyFill="1" applyBorder="1"/>
    <xf numFmtId="169" fontId="5" fillId="6" borderId="0" xfId="24" quotePrefix="1" applyFont="1" applyFill="1" applyBorder="1" applyAlignment="1">
      <alignment horizontal="left"/>
    </xf>
    <xf numFmtId="39" fontId="5" fillId="6" borderId="0" xfId="23" applyNumberFormat="1" applyFont="1" applyFill="1" applyBorder="1" applyAlignment="1">
      <alignment horizontal="center"/>
    </xf>
    <xf numFmtId="169" fontId="6" fillId="6" borderId="0" xfId="24" applyFont="1" applyFill="1" applyBorder="1" applyAlignment="1">
      <alignment horizontal="right"/>
    </xf>
    <xf numFmtId="4" fontId="6" fillId="6" borderId="0" xfId="23" applyNumberFormat="1" applyFont="1" applyFill="1" applyBorder="1" applyAlignment="1">
      <alignment horizontal="right"/>
    </xf>
    <xf numFmtId="0" fontId="6" fillId="6" borderId="9" xfId="23" applyFont="1" applyFill="1" applyBorder="1"/>
    <xf numFmtId="0" fontId="5" fillId="6" borderId="24" xfId="23" applyFont="1" applyFill="1" applyBorder="1" applyAlignment="1">
      <alignment horizontal="center"/>
    </xf>
    <xf numFmtId="4" fontId="5" fillId="6" borderId="15" xfId="24" quotePrefix="1" applyNumberFormat="1" applyFont="1" applyFill="1" applyBorder="1" applyAlignment="1"/>
    <xf numFmtId="4" fontId="5" fillId="6" borderId="1" xfId="24" quotePrefix="1" applyNumberFormat="1" applyFont="1" applyFill="1" applyBorder="1" applyAlignment="1"/>
    <xf numFmtId="169" fontId="5" fillId="6" borderId="24" xfId="24" quotePrefix="1" applyFont="1" applyFill="1" applyBorder="1" applyAlignment="1">
      <alignment horizontal="left"/>
    </xf>
    <xf numFmtId="169" fontId="5" fillId="6" borderId="12" xfId="24" quotePrefix="1" applyFont="1" applyFill="1" applyBorder="1" applyAlignment="1">
      <alignment horizontal="left"/>
    </xf>
    <xf numFmtId="39" fontId="5" fillId="6" borderId="12" xfId="23" applyNumberFormat="1" applyFont="1" applyFill="1" applyBorder="1" applyAlignment="1">
      <alignment horizontal="center"/>
    </xf>
    <xf numFmtId="169" fontId="5" fillId="6" borderId="12" xfId="24" applyFont="1" applyFill="1" applyBorder="1"/>
    <xf numFmtId="169" fontId="6" fillId="6" borderId="12" xfId="24" applyFont="1" applyFill="1" applyBorder="1" applyAlignment="1">
      <alignment horizontal="right"/>
    </xf>
    <xf numFmtId="0" fontId="6" fillId="6" borderId="0" xfId="23" applyFont="1" applyFill="1" applyBorder="1"/>
    <xf numFmtId="0" fontId="5" fillId="6" borderId="15" xfId="23" applyFont="1" applyFill="1" applyBorder="1"/>
    <xf numFmtId="0" fontId="5" fillId="6" borderId="1" xfId="23" applyFont="1" applyFill="1" applyBorder="1"/>
    <xf numFmtId="169" fontId="6" fillId="6" borderId="1" xfId="24" applyFont="1" applyFill="1" applyBorder="1" applyAlignment="1">
      <alignment horizontal="right"/>
    </xf>
    <xf numFmtId="4" fontId="6" fillId="6" borderId="19" xfId="24" applyNumberFormat="1" applyFont="1" applyFill="1" applyBorder="1"/>
    <xf numFmtId="169" fontId="5" fillId="6" borderId="1" xfId="24" quotePrefix="1" applyFont="1" applyFill="1" applyBorder="1" applyAlignment="1">
      <alignment horizontal="left"/>
    </xf>
    <xf numFmtId="0" fontId="19" fillId="6" borderId="24" xfId="23" applyFont="1" applyFill="1" applyBorder="1" applyAlignment="1">
      <alignment horizontal="right"/>
    </xf>
    <xf numFmtId="169" fontId="2" fillId="6" borderId="24" xfId="24" applyFont="1" applyFill="1" applyBorder="1" applyAlignment="1">
      <alignment horizontal="right"/>
    </xf>
    <xf numFmtId="4" fontId="16" fillId="6" borderId="25" xfId="24" applyNumberFormat="1" applyFont="1" applyFill="1" applyBorder="1" applyAlignment="1">
      <alignment horizontal="right"/>
    </xf>
    <xf numFmtId="0" fontId="5" fillId="6" borderId="0" xfId="23" applyFont="1" applyFill="1" applyBorder="1" applyAlignment="1">
      <alignment vertical="top"/>
    </xf>
    <xf numFmtId="169" fontId="5" fillId="6" borderId="0" xfId="24" quotePrefix="1" applyFont="1" applyFill="1" applyBorder="1" applyAlignment="1">
      <alignment horizontal="left" vertical="top"/>
    </xf>
    <xf numFmtId="39" fontId="5" fillId="6" borderId="0" xfId="23" applyNumberFormat="1" applyFont="1" applyFill="1" applyBorder="1" applyAlignment="1">
      <alignment horizontal="center" vertical="top"/>
    </xf>
    <xf numFmtId="169" fontId="5" fillId="6" borderId="0" xfId="24" applyFont="1" applyFill="1" applyBorder="1" applyAlignment="1">
      <alignment vertical="top"/>
    </xf>
    <xf numFmtId="169" fontId="6" fillId="6" borderId="0" xfId="24" applyFont="1" applyFill="1" applyBorder="1" applyAlignment="1">
      <alignment horizontal="right" vertical="top"/>
    </xf>
    <xf numFmtId="0" fontId="6" fillId="6" borderId="0" xfId="23" applyFont="1" applyFill="1" applyBorder="1" applyAlignment="1">
      <alignment horizontal="right" vertical="top"/>
    </xf>
    <xf numFmtId="0" fontId="6" fillId="6" borderId="0" xfId="23" applyFont="1" applyFill="1" applyBorder="1" applyAlignment="1">
      <alignment vertical="top"/>
    </xf>
    <xf numFmtId="0" fontId="5" fillId="6" borderId="22" xfId="23" applyFont="1" applyFill="1" applyBorder="1" applyAlignment="1">
      <alignment horizontal="right" vertical="top"/>
    </xf>
    <xf numFmtId="0" fontId="5" fillId="6" borderId="15" xfId="23" applyFont="1" applyFill="1" applyBorder="1" applyAlignment="1">
      <alignment vertical="top"/>
    </xf>
    <xf numFmtId="169" fontId="5" fillId="6" borderId="15" xfId="24" quotePrefix="1" applyFont="1" applyFill="1" applyBorder="1" applyAlignment="1">
      <alignment horizontal="left" vertical="top"/>
    </xf>
    <xf numFmtId="39" fontId="5" fillId="6" borderId="15" xfId="23" applyNumberFormat="1" applyFont="1" applyFill="1" applyBorder="1" applyAlignment="1">
      <alignment horizontal="center" vertical="top"/>
    </xf>
    <xf numFmtId="169" fontId="5" fillId="6" borderId="15" xfId="24" applyFont="1" applyFill="1" applyBorder="1" applyAlignment="1">
      <alignment vertical="top"/>
    </xf>
    <xf numFmtId="0" fontId="5" fillId="6" borderId="17" xfId="23" applyFont="1" applyFill="1" applyBorder="1" applyAlignment="1">
      <alignment horizontal="right" vertical="top"/>
    </xf>
    <xf numFmtId="0" fontId="5" fillId="6" borderId="1" xfId="23" applyFont="1" applyFill="1" applyBorder="1" applyAlignment="1">
      <alignment vertical="top"/>
    </xf>
    <xf numFmtId="169" fontId="5" fillId="6" borderId="1" xfId="24" quotePrefix="1" applyFont="1" applyFill="1" applyBorder="1" applyAlignment="1">
      <alignment horizontal="left" vertical="top"/>
    </xf>
    <xf numFmtId="39" fontId="5" fillId="6" borderId="1" xfId="23" applyNumberFormat="1" applyFont="1" applyFill="1" applyBorder="1" applyAlignment="1">
      <alignment horizontal="center" vertical="top"/>
    </xf>
    <xf numFmtId="169" fontId="5" fillId="6" borderId="1" xfId="24" applyFont="1" applyFill="1" applyBorder="1" applyAlignment="1">
      <alignment vertical="top"/>
    </xf>
    <xf numFmtId="0" fontId="5" fillId="6" borderId="17" xfId="23" applyFont="1" applyFill="1" applyBorder="1" applyAlignment="1">
      <alignment horizontal="right" vertical="center"/>
    </xf>
    <xf numFmtId="0" fontId="5" fillId="6" borderId="1" xfId="23" applyFont="1" applyFill="1" applyBorder="1" applyAlignment="1">
      <alignment vertical="top" wrapText="1"/>
    </xf>
    <xf numFmtId="169" fontId="5" fillId="6" borderId="1" xfId="24" quotePrefix="1" applyFont="1" applyFill="1" applyBorder="1" applyAlignment="1">
      <alignment horizontal="left" vertical="center"/>
    </xf>
    <xf numFmtId="39" fontId="5" fillId="6" borderId="1" xfId="23" applyNumberFormat="1" applyFont="1" applyFill="1" applyBorder="1" applyAlignment="1">
      <alignment horizontal="center" vertical="center"/>
    </xf>
    <xf numFmtId="169" fontId="5" fillId="6" borderId="1" xfId="24" applyFont="1" applyFill="1" applyBorder="1" applyAlignment="1">
      <alignment vertical="center"/>
    </xf>
    <xf numFmtId="4" fontId="5" fillId="6" borderId="19" xfId="24" applyNumberFormat="1" applyFont="1" applyFill="1" applyBorder="1" applyAlignment="1">
      <alignment vertical="center"/>
    </xf>
    <xf numFmtId="0" fontId="5" fillId="6" borderId="17" xfId="23" applyFont="1" applyFill="1" applyBorder="1" applyAlignment="1">
      <alignment vertical="top"/>
    </xf>
    <xf numFmtId="0" fontId="16" fillId="6" borderId="1" xfId="23" applyFont="1" applyFill="1" applyBorder="1"/>
    <xf numFmtId="169" fontId="5" fillId="6" borderId="1" xfId="24" quotePrefix="1" applyFont="1" applyFill="1" applyBorder="1" applyAlignment="1">
      <alignment horizontal="right" vertical="top"/>
    </xf>
    <xf numFmtId="169" fontId="6" fillId="6" borderId="19" xfId="24" applyFont="1" applyFill="1" applyBorder="1" applyAlignment="1">
      <alignment horizontal="right" vertical="top"/>
    </xf>
    <xf numFmtId="0" fontId="5" fillId="6" borderId="23" xfId="23" applyFont="1" applyFill="1" applyBorder="1" applyAlignment="1">
      <alignment vertical="top"/>
    </xf>
    <xf numFmtId="0" fontId="5" fillId="6" borderId="24" xfId="23" applyFont="1" applyFill="1" applyBorder="1" applyAlignment="1">
      <alignment vertical="top"/>
    </xf>
    <xf numFmtId="169" fontId="5" fillId="6" borderId="24" xfId="24" quotePrefix="1" applyFont="1" applyFill="1" applyBorder="1" applyAlignment="1">
      <alignment horizontal="left" vertical="top"/>
    </xf>
    <xf numFmtId="39" fontId="5" fillId="6" borderId="24" xfId="23" applyNumberFormat="1" applyFont="1" applyFill="1" applyBorder="1" applyAlignment="1">
      <alignment horizontal="center" vertical="top"/>
    </xf>
    <xf numFmtId="169" fontId="6" fillId="6" borderId="24" xfId="24" applyFont="1" applyFill="1" applyBorder="1" applyAlignment="1">
      <alignment horizontal="right"/>
    </xf>
    <xf numFmtId="169" fontId="6" fillId="6" borderId="25" xfId="24" applyFont="1" applyFill="1" applyBorder="1" applyAlignment="1">
      <alignment horizontal="right" vertical="top"/>
    </xf>
    <xf numFmtId="4" fontId="5" fillId="6" borderId="15" xfId="23" applyNumberFormat="1" applyFont="1" applyFill="1" applyBorder="1"/>
    <xf numFmtId="2" fontId="4" fillId="2" borderId="15" xfId="4" applyNumberFormat="1" applyFont="1" applyFill="1" applyBorder="1" applyAlignment="1">
      <alignment horizontal="right" vertical="center"/>
    </xf>
    <xf numFmtId="39" fontId="5" fillId="6" borderId="15" xfId="23" applyNumberFormat="1" applyFont="1" applyFill="1" applyBorder="1" applyAlignment="1">
      <alignment horizontal="center" vertical="center"/>
    </xf>
    <xf numFmtId="4" fontId="5" fillId="6" borderId="15" xfId="24" applyNumberFormat="1" applyFont="1" applyFill="1" applyBorder="1" applyAlignment="1">
      <alignment vertical="top"/>
    </xf>
    <xf numFmtId="4" fontId="5" fillId="6" borderId="1" xfId="23" applyNumberFormat="1" applyFont="1" applyFill="1" applyBorder="1"/>
    <xf numFmtId="2" fontId="4" fillId="2" borderId="1" xfId="4" applyNumberFormat="1" applyFont="1" applyFill="1" applyBorder="1" applyAlignment="1">
      <alignment horizontal="right" vertical="center"/>
    </xf>
    <xf numFmtId="4" fontId="4" fillId="0" borderId="1" xfId="4" applyNumberFormat="1" applyFont="1" applyBorder="1" applyAlignment="1" applyProtection="1">
      <alignment horizontal="right" vertical="center"/>
    </xf>
    <xf numFmtId="4" fontId="5" fillId="6" borderId="1" xfId="24" applyNumberFormat="1" applyFont="1" applyFill="1" applyBorder="1" applyAlignment="1">
      <alignment vertical="top"/>
    </xf>
    <xf numFmtId="169" fontId="22" fillId="6" borderId="25" xfId="24" applyFont="1" applyFill="1" applyBorder="1" applyAlignment="1">
      <alignment horizontal="right" vertical="top"/>
    </xf>
    <xf numFmtId="0" fontId="18" fillId="2" borderId="0" xfId="23" applyFont="1" applyFill="1" applyBorder="1" applyAlignment="1">
      <alignment horizontal="center"/>
    </xf>
    <xf numFmtId="0" fontId="6" fillId="6" borderId="9" xfId="23" applyFont="1" applyFill="1" applyBorder="1" applyAlignment="1">
      <alignment horizontal="right"/>
    </xf>
    <xf numFmtId="0" fontId="5" fillId="6" borderId="15" xfId="23" applyFont="1" applyFill="1" applyBorder="1" applyAlignment="1">
      <alignment horizontal="center"/>
    </xf>
    <xf numFmtId="0" fontId="5" fillId="6" borderId="1" xfId="23" applyFont="1" applyFill="1" applyBorder="1" applyAlignment="1">
      <alignment horizontal="center"/>
    </xf>
    <xf numFmtId="0" fontId="5" fillId="6" borderId="20" xfId="23" applyFont="1" applyFill="1" applyBorder="1"/>
    <xf numFmtId="0" fontId="19" fillId="6" borderId="24" xfId="23" applyFont="1" applyFill="1" applyBorder="1" applyAlignment="1">
      <alignment horizontal="right" vertical="top"/>
    </xf>
    <xf numFmtId="0" fontId="5" fillId="6" borderId="30" xfId="23" applyFont="1" applyFill="1" applyBorder="1"/>
    <xf numFmtId="0" fontId="19" fillId="6" borderId="31" xfId="23" applyFont="1" applyFill="1" applyBorder="1" applyAlignment="1">
      <alignment horizontal="right" vertical="top"/>
    </xf>
    <xf numFmtId="169" fontId="5" fillId="6" borderId="31" xfId="24" applyFont="1" applyFill="1" applyBorder="1"/>
    <xf numFmtId="0" fontId="5" fillId="6" borderId="31" xfId="23" applyFont="1" applyFill="1" applyBorder="1" applyAlignment="1">
      <alignment horizontal="center"/>
    </xf>
    <xf numFmtId="169" fontId="6" fillId="6" borderId="31" xfId="24" applyFont="1" applyFill="1" applyBorder="1" applyAlignment="1">
      <alignment horizontal="right"/>
    </xf>
    <xf numFmtId="169" fontId="22" fillId="6" borderId="32" xfId="24" applyFont="1" applyFill="1" applyBorder="1" applyAlignment="1">
      <alignment vertical="top"/>
    </xf>
    <xf numFmtId="169" fontId="20" fillId="8" borderId="32" xfId="24" applyFont="1" applyFill="1" applyBorder="1" applyAlignment="1">
      <alignment vertical="top"/>
    </xf>
    <xf numFmtId="4" fontId="5" fillId="6" borderId="0" xfId="23" applyNumberFormat="1" applyFont="1" applyFill="1" applyBorder="1"/>
    <xf numFmtId="0" fontId="5" fillId="6" borderId="0" xfId="23" applyFont="1" applyFill="1" applyBorder="1" applyAlignment="1">
      <alignment horizontal="center"/>
    </xf>
    <xf numFmtId="0" fontId="6" fillId="6" borderId="0" xfId="23" quotePrefix="1" applyFont="1" applyFill="1" applyBorder="1" applyAlignment="1">
      <alignment horizontal="left"/>
    </xf>
    <xf numFmtId="4" fontId="6" fillId="6" borderId="0" xfId="24" applyNumberFormat="1" applyFont="1" applyFill="1" applyBorder="1" applyAlignment="1">
      <alignment horizontal="right"/>
    </xf>
    <xf numFmtId="0" fontId="5" fillId="6" borderId="33" xfId="23" applyFont="1" applyFill="1" applyBorder="1" applyAlignment="1">
      <alignment horizontal="right"/>
    </xf>
    <xf numFmtId="4" fontId="5" fillId="6" borderId="5" xfId="24" applyNumberFormat="1" applyFont="1" applyFill="1" applyBorder="1"/>
    <xf numFmtId="39" fontId="5" fillId="6" borderId="5" xfId="23" applyNumberFormat="1" applyFont="1" applyFill="1" applyBorder="1" applyAlignment="1">
      <alignment horizontal="center"/>
    </xf>
    <xf numFmtId="4" fontId="5" fillId="6" borderId="15" xfId="23" applyNumberFormat="1" applyFont="1" applyFill="1" applyBorder="1" applyAlignment="1">
      <alignment horizontal="center"/>
    </xf>
    <xf numFmtId="4" fontId="4" fillId="6" borderId="16" xfId="4" applyNumberFormat="1" applyFont="1" applyFill="1" applyBorder="1" applyAlignment="1" applyProtection="1">
      <alignment horizontal="right" vertical="center"/>
      <protection locked="0"/>
    </xf>
    <xf numFmtId="4" fontId="5" fillId="6" borderId="1" xfId="23" applyNumberFormat="1" applyFont="1" applyFill="1" applyBorder="1" applyAlignment="1">
      <alignment horizontal="center"/>
    </xf>
    <xf numFmtId="4" fontId="4" fillId="6" borderId="19" xfId="4" applyNumberFormat="1" applyFont="1" applyFill="1" applyBorder="1" applyAlignment="1" applyProtection="1">
      <alignment horizontal="right" vertical="center"/>
      <protection locked="0"/>
    </xf>
    <xf numFmtId="4" fontId="5" fillId="6" borderId="1" xfId="23" quotePrefix="1" applyNumberFormat="1" applyFont="1" applyFill="1" applyBorder="1" applyAlignment="1">
      <alignment horizontal="center"/>
    </xf>
    <xf numFmtId="0" fontId="5" fillId="6" borderId="18" xfId="23" quotePrefix="1" applyFont="1" applyFill="1" applyBorder="1" applyAlignment="1">
      <alignment horizontal="left"/>
    </xf>
    <xf numFmtId="169" fontId="22" fillId="6" borderId="0" xfId="24" applyFont="1" applyFill="1" applyBorder="1" applyAlignment="1">
      <alignment horizontal="center" vertical="center"/>
    </xf>
    <xf numFmtId="0" fontId="5" fillId="6" borderId="0" xfId="23" applyFont="1" applyFill="1" applyBorder="1" applyAlignment="1">
      <alignment horizontal="center" vertical="top"/>
    </xf>
    <xf numFmtId="169" fontId="22" fillId="6" borderId="0" xfId="24" applyFont="1" applyFill="1" applyBorder="1" applyAlignment="1">
      <alignment vertical="top"/>
    </xf>
    <xf numFmtId="0" fontId="5" fillId="6" borderId="22" xfId="23" applyFont="1" applyFill="1" applyBorder="1" applyAlignment="1">
      <alignment vertical="top"/>
    </xf>
    <xf numFmtId="0" fontId="5" fillId="6" borderId="15" xfId="23" applyFont="1" applyFill="1" applyBorder="1" applyAlignment="1">
      <alignment horizontal="center" vertical="top"/>
    </xf>
    <xf numFmtId="169" fontId="5" fillId="6" borderId="15" xfId="24" applyFont="1" applyFill="1" applyBorder="1" applyAlignment="1">
      <alignment horizontal="right" vertical="top"/>
    </xf>
    <xf numFmtId="169" fontId="5" fillId="6" borderId="16" xfId="24" applyFont="1" applyFill="1" applyBorder="1" applyAlignment="1">
      <alignment horizontal="right" vertical="top"/>
    </xf>
    <xf numFmtId="0" fontId="5" fillId="6" borderId="1" xfId="23" applyFont="1" applyFill="1" applyBorder="1" applyAlignment="1">
      <alignment horizontal="center" vertical="top"/>
    </xf>
    <xf numFmtId="169" fontId="5" fillId="6" borderId="1" xfId="24" applyFont="1" applyFill="1" applyBorder="1" applyAlignment="1">
      <alignment horizontal="right" vertical="top"/>
    </xf>
    <xf numFmtId="169" fontId="5" fillId="6" borderId="19" xfId="24" applyFont="1" applyFill="1" applyBorder="1" applyAlignment="1">
      <alignment horizontal="right" vertical="top"/>
    </xf>
    <xf numFmtId="0" fontId="5" fillId="6" borderId="23" xfId="23" applyFont="1" applyFill="1" applyBorder="1" applyAlignment="1">
      <alignment horizontal="right" vertical="top"/>
    </xf>
    <xf numFmtId="169" fontId="5" fillId="6" borderId="24" xfId="24" applyFont="1" applyFill="1" applyBorder="1" applyAlignment="1">
      <alignment vertical="top"/>
    </xf>
    <xf numFmtId="0" fontId="5" fillId="6" borderId="24" xfId="23" applyFont="1" applyFill="1" applyBorder="1" applyAlignment="1">
      <alignment horizontal="center" vertical="top"/>
    </xf>
    <xf numFmtId="169" fontId="5" fillId="6" borderId="24" xfId="24" applyFont="1" applyFill="1" applyBorder="1" applyAlignment="1">
      <alignment horizontal="right" vertical="top"/>
    </xf>
    <xf numFmtId="169" fontId="5" fillId="6" borderId="25" xfId="24" applyFont="1" applyFill="1" applyBorder="1" applyAlignment="1">
      <alignment horizontal="right" vertical="top"/>
    </xf>
    <xf numFmtId="169" fontId="6" fillId="6" borderId="0" xfId="24" applyFont="1" applyFill="1" applyAlignment="1">
      <alignment horizontal="right"/>
    </xf>
    <xf numFmtId="4" fontId="6" fillId="6" borderId="0" xfId="23" applyNumberFormat="1" applyFont="1" applyFill="1" applyAlignment="1">
      <alignment horizontal="right"/>
    </xf>
    <xf numFmtId="0" fontId="23" fillId="6" borderId="1" xfId="23" applyFont="1" applyFill="1" applyBorder="1" applyAlignment="1">
      <alignment horizontal="center"/>
    </xf>
    <xf numFmtId="0" fontId="6" fillId="6" borderId="0" xfId="28" quotePrefix="1" applyFont="1" applyFill="1" applyBorder="1" applyAlignment="1" applyProtection="1">
      <alignment horizontal="left" vertical="center"/>
    </xf>
    <xf numFmtId="169" fontId="5" fillId="6" borderId="0" xfId="24" applyFont="1" applyFill="1" applyBorder="1" applyAlignment="1">
      <alignment horizontal="right" vertical="center"/>
    </xf>
    <xf numFmtId="0" fontId="5" fillId="6" borderId="0" xfId="28" applyFont="1" applyFill="1" applyBorder="1" applyAlignment="1">
      <alignment horizontal="center" vertical="center"/>
    </xf>
    <xf numFmtId="4" fontId="5" fillId="6" borderId="0" xfId="28" applyNumberFormat="1" applyFont="1" applyFill="1" applyBorder="1" applyAlignment="1">
      <alignment horizontal="right" vertical="center"/>
    </xf>
    <xf numFmtId="4" fontId="5" fillId="6" borderId="0" xfId="28" applyNumberFormat="1" applyFont="1" applyFill="1" applyBorder="1" applyAlignment="1">
      <alignment vertical="center"/>
    </xf>
    <xf numFmtId="2" fontId="5" fillId="6" borderId="0" xfId="28" quotePrefix="1" applyNumberFormat="1" applyFont="1" applyFill="1" applyBorder="1" applyAlignment="1">
      <alignment horizontal="left" vertical="center"/>
    </xf>
    <xf numFmtId="0" fontId="5" fillId="6" borderId="0" xfId="28" applyFont="1" applyFill="1" applyBorder="1" applyAlignment="1">
      <alignment vertical="center"/>
    </xf>
    <xf numFmtId="0" fontId="5" fillId="6" borderId="22" xfId="28" applyFont="1" applyFill="1" applyBorder="1" applyAlignment="1">
      <alignment horizontal="right" vertical="center"/>
    </xf>
    <xf numFmtId="0" fontId="5" fillId="6" borderId="14" xfId="28" quotePrefix="1" applyFont="1" applyFill="1" applyBorder="1" applyAlignment="1" applyProtection="1">
      <alignment horizontal="left" vertical="center"/>
    </xf>
    <xf numFmtId="4" fontId="5" fillId="6" borderId="15" xfId="24" applyNumberFormat="1" applyFont="1" applyFill="1" applyBorder="1" applyAlignment="1" applyProtection="1">
      <alignment horizontal="right" vertical="center"/>
    </xf>
    <xf numFmtId="0" fontId="5" fillId="6" borderId="15" xfId="28" applyFont="1" applyFill="1" applyBorder="1" applyAlignment="1" applyProtection="1">
      <alignment horizontal="center" vertical="center"/>
    </xf>
    <xf numFmtId="4" fontId="5" fillId="6" borderId="15" xfId="24" applyNumberFormat="1" applyFont="1" applyFill="1" applyBorder="1" applyAlignment="1" applyProtection="1">
      <alignment horizontal="right" vertical="center"/>
      <protection locked="0"/>
    </xf>
    <xf numFmtId="4" fontId="5" fillId="6" borderId="0" xfId="28" applyNumberFormat="1" applyFont="1" applyFill="1" applyBorder="1" applyAlignment="1" applyProtection="1">
      <alignment horizontal="right" vertical="center"/>
      <protection locked="0"/>
    </xf>
    <xf numFmtId="0" fontId="5" fillId="6" borderId="17" xfId="28" applyFont="1" applyFill="1" applyBorder="1" applyAlignment="1">
      <alignment horizontal="right" vertical="center"/>
    </xf>
    <xf numFmtId="0" fontId="5" fillId="6" borderId="18" xfId="28" quotePrefix="1" applyFont="1" applyFill="1" applyBorder="1" applyAlignment="1" applyProtection="1">
      <alignment horizontal="left" vertical="center"/>
    </xf>
    <xf numFmtId="4" fontId="5" fillId="6" borderId="1" xfId="24" applyNumberFormat="1" applyFont="1" applyFill="1" applyBorder="1" applyAlignment="1" applyProtection="1">
      <alignment horizontal="right" vertical="center"/>
    </xf>
    <xf numFmtId="0" fontId="5" fillId="6" borderId="1" xfId="28" applyFont="1" applyFill="1" applyBorder="1" applyAlignment="1" applyProtection="1">
      <alignment horizontal="center" vertical="center"/>
    </xf>
    <xf numFmtId="4" fontId="5" fillId="6" borderId="1" xfId="24" applyNumberFormat="1" applyFont="1" applyFill="1" applyBorder="1" applyAlignment="1" applyProtection="1">
      <alignment horizontal="right" vertical="center"/>
      <protection locked="0"/>
    </xf>
    <xf numFmtId="4" fontId="24" fillId="6" borderId="0" xfId="28" applyNumberFormat="1" applyFont="1" applyFill="1" applyBorder="1" applyAlignment="1" applyProtection="1">
      <alignment horizontal="right" vertical="center"/>
      <protection locked="0"/>
    </xf>
    <xf numFmtId="0" fontId="5" fillId="6" borderId="23" xfId="28" applyFont="1" applyFill="1" applyBorder="1" applyAlignment="1">
      <alignment vertical="center"/>
    </xf>
    <xf numFmtId="0" fontId="5" fillId="6" borderId="27" xfId="28" applyFont="1" applyFill="1" applyBorder="1" applyAlignment="1">
      <alignment vertical="center"/>
    </xf>
    <xf numFmtId="169" fontId="5" fillId="6" borderId="24" xfId="24" applyFont="1" applyFill="1" applyBorder="1" applyAlignment="1">
      <alignment horizontal="right" vertical="center"/>
    </xf>
    <xf numFmtId="0" fontId="5" fillId="6" borderId="24" xfId="28" applyFont="1" applyFill="1" applyBorder="1" applyAlignment="1">
      <alignment horizontal="center" vertical="center"/>
    </xf>
    <xf numFmtId="4" fontId="6" fillId="6" borderId="25" xfId="24" applyNumberFormat="1" applyFont="1" applyFill="1" applyBorder="1" applyAlignment="1" applyProtection="1">
      <alignment horizontal="right" vertical="center"/>
      <protection locked="0"/>
    </xf>
    <xf numFmtId="4" fontId="6" fillId="6" borderId="0" xfId="29" applyNumberFormat="1" applyFont="1" applyFill="1" applyBorder="1" applyAlignment="1" applyProtection="1">
      <alignment horizontal="right" vertical="center"/>
      <protection locked="0"/>
    </xf>
    <xf numFmtId="4" fontId="5" fillId="6" borderId="0" xfId="28" applyNumberFormat="1" applyFont="1" applyFill="1" applyBorder="1" applyAlignment="1" applyProtection="1">
      <alignment horizontal="right" vertical="center"/>
    </xf>
    <xf numFmtId="169" fontId="6" fillId="6" borderId="0" xfId="24" applyFont="1" applyFill="1" applyBorder="1" applyAlignment="1" applyProtection="1">
      <alignment horizontal="right" vertical="center"/>
      <protection locked="0"/>
    </xf>
    <xf numFmtId="169" fontId="6" fillId="6" borderId="0" xfId="24" applyFont="1" applyFill="1" applyBorder="1" applyAlignment="1">
      <alignment horizontal="right" vertical="center"/>
    </xf>
    <xf numFmtId="0" fontId="6" fillId="6" borderId="0" xfId="28" applyFont="1" applyFill="1" applyBorder="1" applyAlignment="1">
      <alignment horizontal="center" vertical="center"/>
    </xf>
    <xf numFmtId="4" fontId="6" fillId="6" borderId="0" xfId="28" applyNumberFormat="1" applyFont="1" applyFill="1" applyBorder="1" applyAlignment="1">
      <alignment horizontal="right" vertical="center"/>
    </xf>
    <xf numFmtId="4" fontId="6" fillId="6" borderId="0" xfId="28" applyNumberFormat="1" applyFont="1" applyFill="1" applyBorder="1" applyAlignment="1">
      <alignment vertical="center"/>
    </xf>
    <xf numFmtId="2" fontId="6" fillId="6" borderId="0" xfId="28" quotePrefix="1" applyNumberFormat="1" applyFont="1" applyFill="1" applyBorder="1" applyAlignment="1">
      <alignment horizontal="left" vertical="center"/>
    </xf>
    <xf numFmtId="0" fontId="6" fillId="6" borderId="0" xfId="28" applyFont="1" applyFill="1" applyBorder="1" applyAlignment="1">
      <alignment vertical="center"/>
    </xf>
    <xf numFmtId="169" fontId="5" fillId="6" borderId="14" xfId="29" quotePrefix="1" applyFont="1" applyFill="1" applyBorder="1" applyAlignment="1" applyProtection="1">
      <alignment horizontal="left" vertical="center"/>
    </xf>
    <xf numFmtId="169" fontId="5" fillId="6" borderId="15" xfId="29" applyFont="1" applyFill="1" applyBorder="1" applyAlignment="1" applyProtection="1">
      <alignment horizontal="center" vertical="center"/>
    </xf>
    <xf numFmtId="4" fontId="5" fillId="6" borderId="0" xfId="29" applyNumberFormat="1" applyFont="1" applyFill="1" applyBorder="1" applyAlignment="1" applyProtection="1">
      <alignment horizontal="right" vertical="center"/>
      <protection locked="0"/>
    </xf>
    <xf numFmtId="169" fontId="5" fillId="6" borderId="18" xfId="29" applyFont="1" applyFill="1" applyBorder="1" applyAlignment="1" applyProtection="1">
      <alignment vertical="center"/>
    </xf>
    <xf numFmtId="169" fontId="5" fillId="6" borderId="1" xfId="29" applyFont="1" applyFill="1" applyBorder="1" applyAlignment="1" applyProtection="1">
      <alignment horizontal="center" vertical="center"/>
    </xf>
    <xf numFmtId="169" fontId="5" fillId="6" borderId="18" xfId="29" quotePrefix="1" applyFont="1" applyFill="1" applyBorder="1" applyAlignment="1" applyProtection="1">
      <alignment horizontal="left" vertical="center"/>
    </xf>
    <xf numFmtId="169" fontId="5" fillId="6" borderId="27" xfId="29" applyFont="1" applyFill="1" applyBorder="1" applyAlignment="1">
      <alignment vertical="center"/>
    </xf>
    <xf numFmtId="169" fontId="5" fillId="6" borderId="24" xfId="29" applyFont="1" applyFill="1" applyBorder="1" applyAlignment="1">
      <alignment horizontal="center" vertical="center"/>
    </xf>
    <xf numFmtId="169" fontId="5" fillId="6" borderId="0" xfId="24" applyFont="1" applyFill="1" applyBorder="1" applyAlignment="1" applyProtection="1">
      <alignment horizontal="right" vertical="center"/>
    </xf>
    <xf numFmtId="169" fontId="5" fillId="6" borderId="0" xfId="24" applyFont="1" applyFill="1" applyBorder="1" applyAlignment="1" applyProtection="1">
      <alignment horizontal="right" vertical="center"/>
      <protection locked="0"/>
    </xf>
    <xf numFmtId="4" fontId="5" fillId="6" borderId="16" xfId="24" applyNumberFormat="1" applyFont="1" applyFill="1" applyBorder="1" applyAlignment="1" applyProtection="1">
      <alignment horizontal="right" vertical="center"/>
      <protection locked="0"/>
    </xf>
    <xf numFmtId="4" fontId="5" fillId="6" borderId="19" xfId="24" applyNumberFormat="1" applyFont="1" applyFill="1" applyBorder="1" applyAlignment="1" applyProtection="1">
      <alignment horizontal="right" vertical="center"/>
      <protection locked="0"/>
    </xf>
    <xf numFmtId="169" fontId="5" fillId="6" borderId="24" xfId="24" applyFont="1" applyFill="1" applyBorder="1" applyAlignment="1" applyProtection="1">
      <alignment horizontal="right" vertical="center"/>
    </xf>
    <xf numFmtId="169" fontId="5" fillId="6" borderId="0" xfId="29" applyFont="1" applyFill="1" applyBorder="1" applyAlignment="1">
      <alignment vertical="center"/>
    </xf>
    <xf numFmtId="169" fontId="5" fillId="6" borderId="0" xfId="29" applyFont="1" applyFill="1" applyBorder="1" applyAlignment="1">
      <alignment horizontal="center" vertical="center"/>
    </xf>
    <xf numFmtId="39" fontId="6" fillId="6" borderId="0" xfId="26" quotePrefix="1" applyFont="1" applyFill="1" applyBorder="1" applyAlignment="1" applyProtection="1">
      <alignment horizontal="left" vertical="center"/>
    </xf>
    <xf numFmtId="39" fontId="5" fillId="6" borderId="0" xfId="26" applyFont="1" applyFill="1" applyBorder="1" applyAlignment="1">
      <alignment horizontal="right" vertical="center"/>
    </xf>
    <xf numFmtId="39" fontId="5" fillId="6" borderId="0" xfId="26" applyFont="1" applyFill="1" applyBorder="1" applyAlignment="1">
      <alignment horizontal="center" vertical="center"/>
    </xf>
    <xf numFmtId="4" fontId="5" fillId="6" borderId="0" xfId="26" applyNumberFormat="1" applyFont="1" applyFill="1" applyBorder="1" applyAlignment="1">
      <alignment horizontal="right" vertical="center"/>
    </xf>
    <xf numFmtId="4" fontId="5" fillId="6" borderId="0" xfId="26" applyNumberFormat="1" applyFont="1" applyFill="1" applyBorder="1" applyAlignment="1">
      <alignment vertical="center"/>
    </xf>
    <xf numFmtId="4" fontId="5" fillId="6" borderId="0" xfId="26" quotePrefix="1" applyNumberFormat="1" applyFont="1" applyFill="1" applyBorder="1" applyAlignment="1">
      <alignment horizontal="left" vertical="center"/>
    </xf>
    <xf numFmtId="39" fontId="5" fillId="6" borderId="0" xfId="26" applyFont="1" applyFill="1" applyBorder="1" applyAlignment="1">
      <alignment vertical="center"/>
    </xf>
    <xf numFmtId="39" fontId="5" fillId="6" borderId="22" xfId="26" applyFont="1" applyFill="1" applyBorder="1" applyAlignment="1">
      <alignment horizontal="right" vertical="center"/>
    </xf>
    <xf numFmtId="39" fontId="5" fillId="6" borderId="14" xfId="26" quotePrefix="1" applyFont="1" applyFill="1" applyBorder="1" applyAlignment="1" applyProtection="1">
      <alignment horizontal="left" vertical="center"/>
    </xf>
    <xf numFmtId="182" fontId="5" fillId="6" borderId="15" xfId="26" applyNumberFormat="1" applyFont="1" applyFill="1" applyBorder="1" applyAlignment="1" applyProtection="1">
      <alignment horizontal="right" vertical="center"/>
      <protection locked="0"/>
    </xf>
    <xf numFmtId="39" fontId="5" fillId="6" borderId="15" xfId="26" applyFont="1" applyFill="1" applyBorder="1" applyAlignment="1" applyProtection="1">
      <alignment horizontal="center" vertical="center"/>
    </xf>
    <xf numFmtId="4" fontId="5" fillId="6" borderId="15" xfId="26" applyNumberFormat="1" applyFont="1" applyFill="1" applyBorder="1" applyAlignment="1" applyProtection="1">
      <alignment horizontal="right" vertical="center"/>
    </xf>
    <xf numFmtId="4" fontId="5" fillId="6" borderId="16" xfId="26" applyNumberFormat="1" applyFont="1" applyFill="1" applyBorder="1" applyAlignment="1" applyProtection="1">
      <alignment horizontal="right" vertical="center"/>
      <protection locked="0"/>
    </xf>
    <xf numFmtId="4" fontId="5" fillId="6" borderId="0" xfId="26" applyNumberFormat="1" applyFont="1" applyFill="1" applyBorder="1" applyAlignment="1" applyProtection="1">
      <alignment horizontal="right" vertical="center"/>
      <protection locked="0"/>
    </xf>
    <xf numFmtId="39" fontId="5" fillId="6" borderId="17" xfId="26" applyFont="1" applyFill="1" applyBorder="1" applyAlignment="1">
      <alignment horizontal="right" vertical="center"/>
    </xf>
    <xf numFmtId="39" fontId="5" fillId="6" borderId="18" xfId="26" quotePrefix="1" applyFont="1" applyFill="1" applyBorder="1" applyAlignment="1" applyProtection="1">
      <alignment horizontal="left" vertical="center"/>
    </xf>
    <xf numFmtId="182" fontId="5" fillId="6" borderId="1" xfId="26" applyNumberFormat="1" applyFont="1" applyFill="1" applyBorder="1" applyAlignment="1" applyProtection="1">
      <alignment horizontal="right" vertical="center"/>
      <protection locked="0"/>
    </xf>
    <xf numFmtId="39" fontId="5" fillId="6" borderId="1" xfId="26" applyFont="1" applyFill="1" applyBorder="1" applyAlignment="1" applyProtection="1">
      <alignment horizontal="center" vertical="center"/>
    </xf>
    <xf numFmtId="4" fontId="5" fillId="6" borderId="1" xfId="26" applyNumberFormat="1" applyFont="1" applyFill="1" applyBorder="1" applyAlignment="1" applyProtection="1">
      <alignment horizontal="right" vertical="center"/>
    </xf>
    <xf numFmtId="4" fontId="5" fillId="6" borderId="19" xfId="26" applyNumberFormat="1" applyFont="1" applyFill="1" applyBorder="1" applyAlignment="1" applyProtection="1">
      <alignment horizontal="right" vertical="center"/>
      <protection locked="0"/>
    </xf>
    <xf numFmtId="39" fontId="5" fillId="6" borderId="18" xfId="26" applyFont="1" applyFill="1" applyBorder="1" applyAlignment="1" applyProtection="1">
      <alignment horizontal="left" vertical="center"/>
    </xf>
    <xf numFmtId="4" fontId="24" fillId="6" borderId="0" xfId="26" applyNumberFormat="1" applyFont="1" applyFill="1" applyBorder="1" applyAlignment="1" applyProtection="1">
      <alignment horizontal="right" vertical="center"/>
      <protection locked="0"/>
    </xf>
    <xf numFmtId="39" fontId="5" fillId="6" borderId="23" xfId="26" applyFont="1" applyFill="1" applyBorder="1" applyAlignment="1">
      <alignment vertical="center"/>
    </xf>
    <xf numFmtId="39" fontId="5" fillId="6" borderId="27" xfId="26" applyFont="1" applyFill="1" applyBorder="1" applyAlignment="1">
      <alignment vertical="center"/>
    </xf>
    <xf numFmtId="39" fontId="5" fillId="6" borderId="24" xfId="26" applyFont="1" applyFill="1" applyBorder="1" applyAlignment="1">
      <alignment horizontal="right" vertical="center"/>
    </xf>
    <xf numFmtId="39" fontId="5" fillId="6" borderId="24" xfId="26" applyFont="1" applyFill="1" applyBorder="1" applyAlignment="1">
      <alignment horizontal="center" vertical="center"/>
    </xf>
    <xf numFmtId="4" fontId="6" fillId="6" borderId="25" xfId="27" applyNumberFormat="1" applyFont="1" applyFill="1" applyBorder="1" applyAlignment="1" applyProtection="1">
      <alignment horizontal="right" vertical="center"/>
      <protection locked="0"/>
    </xf>
    <xf numFmtId="4" fontId="5" fillId="6" borderId="0" xfId="26" quotePrefix="1" applyNumberFormat="1" applyFont="1" applyFill="1" applyBorder="1" applyAlignment="1" applyProtection="1">
      <alignment horizontal="right" vertical="center"/>
    </xf>
    <xf numFmtId="178" fontId="5" fillId="6" borderId="0" xfId="26" applyNumberFormat="1" applyFont="1" applyFill="1" applyBorder="1" applyAlignment="1" applyProtection="1">
      <alignment horizontal="right" vertical="center"/>
      <protection locked="0"/>
    </xf>
    <xf numFmtId="183" fontId="5" fillId="6" borderId="0" xfId="24" applyNumberFormat="1" applyFont="1" applyFill="1" applyBorder="1"/>
    <xf numFmtId="2" fontId="5" fillId="6" borderId="0" xfId="23" applyNumberFormat="1" applyFont="1" applyFill="1" applyBorder="1"/>
    <xf numFmtId="184" fontId="5" fillId="6" borderId="15" xfId="26" applyNumberFormat="1" applyFont="1" applyFill="1" applyBorder="1" applyAlignment="1" applyProtection="1">
      <alignment horizontal="right" vertical="center"/>
      <protection locked="0"/>
    </xf>
    <xf numFmtId="185" fontId="5" fillId="6" borderId="1" xfId="26" applyNumberFormat="1" applyFont="1" applyFill="1" applyBorder="1" applyAlignment="1" applyProtection="1">
      <alignment horizontal="right" vertical="center"/>
      <protection locked="0"/>
    </xf>
    <xf numFmtId="4" fontId="5" fillId="6" borderId="1" xfId="24" applyNumberFormat="1" applyFont="1" applyFill="1" applyBorder="1" applyAlignment="1">
      <alignment horizontal="right"/>
    </xf>
    <xf numFmtId="0" fontId="2" fillId="6" borderId="0" xfId="4" quotePrefix="1" applyFont="1" applyFill="1" applyBorder="1" applyAlignment="1" applyProtection="1">
      <alignment horizontal="left" vertical="center"/>
    </xf>
    <xf numFmtId="0" fontId="25" fillId="6" borderId="0" xfId="4" applyFont="1" applyFill="1" applyBorder="1" applyAlignment="1">
      <alignment horizontal="right" vertical="center"/>
    </xf>
    <xf numFmtId="0" fontId="25" fillId="6" borderId="0" xfId="4" applyFont="1" applyFill="1" applyBorder="1" applyAlignment="1">
      <alignment horizontal="center" vertical="center"/>
    </xf>
    <xf numFmtId="0" fontId="4" fillId="6" borderId="14" xfId="4" applyFont="1" applyFill="1" applyBorder="1" applyAlignment="1" applyProtection="1">
      <alignment horizontal="left" vertical="center"/>
    </xf>
    <xf numFmtId="184" fontId="4" fillId="6" borderId="15" xfId="4" applyNumberFormat="1" applyFont="1" applyFill="1" applyBorder="1" applyAlignment="1" applyProtection="1">
      <alignment horizontal="right" vertical="center"/>
      <protection locked="0"/>
    </xf>
    <xf numFmtId="0" fontId="4" fillId="6" borderId="15" xfId="4" applyFont="1" applyFill="1" applyBorder="1" applyAlignment="1" applyProtection="1">
      <alignment horizontal="center" vertical="center"/>
    </xf>
    <xf numFmtId="4" fontId="4" fillId="6" borderId="15" xfId="4" applyNumberFormat="1" applyFont="1" applyFill="1" applyBorder="1" applyAlignment="1" applyProtection="1">
      <alignment horizontal="right" vertical="center"/>
    </xf>
    <xf numFmtId="0" fontId="4" fillId="6" borderId="18" xfId="4" applyFont="1" applyFill="1" applyBorder="1" applyAlignment="1" applyProtection="1">
      <alignment horizontal="left" vertical="center"/>
    </xf>
    <xf numFmtId="185" fontId="4" fillId="6" borderId="1" xfId="4" applyNumberFormat="1" applyFont="1" applyFill="1" applyBorder="1" applyAlignment="1" applyProtection="1">
      <alignment horizontal="right" vertical="center"/>
      <protection locked="0"/>
    </xf>
    <xf numFmtId="0" fontId="4" fillId="6" borderId="1" xfId="4" applyFont="1" applyFill="1" applyBorder="1" applyAlignment="1" applyProtection="1">
      <alignment horizontal="center" vertical="center"/>
    </xf>
    <xf numFmtId="4" fontId="4" fillId="6" borderId="1" xfId="4" applyNumberFormat="1" applyFont="1" applyFill="1" applyBorder="1" applyAlignment="1" applyProtection="1">
      <alignment horizontal="right" vertical="center"/>
    </xf>
    <xf numFmtId="2" fontId="4" fillId="6" borderId="1" xfId="4" applyNumberFormat="1" applyFont="1" applyFill="1" applyBorder="1" applyAlignment="1" applyProtection="1">
      <alignment horizontal="right" vertical="center"/>
    </xf>
    <xf numFmtId="0" fontId="4" fillId="6" borderId="27" xfId="4" applyFont="1" applyFill="1" applyBorder="1" applyAlignment="1">
      <alignment vertical="center"/>
    </xf>
    <xf numFmtId="0" fontId="4" fillId="6" borderId="24" xfId="4" applyFont="1" applyFill="1" applyBorder="1" applyAlignment="1">
      <alignment horizontal="right" vertical="center"/>
    </xf>
    <xf numFmtId="0" fontId="4" fillId="6" borderId="24" xfId="4" applyFont="1" applyFill="1" applyBorder="1" applyAlignment="1">
      <alignment horizontal="center" vertical="center"/>
    </xf>
    <xf numFmtId="4" fontId="2" fillId="6" borderId="24" xfId="4" quotePrefix="1" applyNumberFormat="1" applyFont="1" applyFill="1" applyBorder="1" applyAlignment="1" applyProtection="1">
      <alignment horizontal="right" vertical="center"/>
    </xf>
    <xf numFmtId="4" fontId="2" fillId="6" borderId="25" xfId="4" applyNumberFormat="1" applyFont="1" applyFill="1" applyBorder="1" applyAlignment="1" applyProtection="1">
      <alignment horizontal="right" vertical="center"/>
      <protection locked="0"/>
    </xf>
    <xf numFmtId="39" fontId="5" fillId="6" borderId="0" xfId="23" quotePrefix="1" applyNumberFormat="1" applyFont="1" applyFill="1" applyBorder="1" applyAlignment="1">
      <alignment horizontal="left"/>
    </xf>
    <xf numFmtId="0" fontId="2" fillId="6" borderId="0" xfId="4" quotePrefix="1" applyFont="1" applyFill="1" applyBorder="1" applyAlignment="1">
      <alignment horizontal="left"/>
    </xf>
    <xf numFmtId="0" fontId="4" fillId="6" borderId="0" xfId="4" applyFill="1"/>
    <xf numFmtId="0" fontId="4" fillId="6" borderId="14" xfId="4" quotePrefix="1" applyFont="1" applyFill="1" applyBorder="1" applyAlignment="1">
      <alignment horizontal="left" vertical="top" wrapText="1"/>
    </xf>
    <xf numFmtId="186" fontId="4" fillId="6" borderId="15" xfId="4" applyNumberFormat="1" applyFont="1" applyFill="1" applyBorder="1" applyAlignment="1"/>
    <xf numFmtId="0" fontId="4" fillId="6" borderId="15" xfId="4" applyFont="1" applyFill="1" applyBorder="1" applyAlignment="1">
      <alignment horizontal="center"/>
    </xf>
    <xf numFmtId="4" fontId="4" fillId="6" borderId="15" xfId="4" applyNumberFormat="1" applyFont="1" applyFill="1" applyBorder="1"/>
    <xf numFmtId="2" fontId="4" fillId="6" borderId="1" xfId="4" applyNumberFormat="1" applyFont="1" applyFill="1" applyBorder="1"/>
    <xf numFmtId="0" fontId="4" fillId="6" borderId="1" xfId="4" applyFont="1" applyFill="1" applyBorder="1" applyAlignment="1">
      <alignment horizontal="center"/>
    </xf>
    <xf numFmtId="4" fontId="4" fillId="6" borderId="1" xfId="4" applyNumberFormat="1" applyFont="1" applyFill="1" applyBorder="1"/>
    <xf numFmtId="0" fontId="4" fillId="6" borderId="27" xfId="4" applyFont="1" applyFill="1" applyBorder="1"/>
    <xf numFmtId="0" fontId="4" fillId="6" borderId="24" xfId="4" applyFont="1" applyFill="1" applyBorder="1"/>
    <xf numFmtId="0" fontId="4" fillId="6" borderId="24" xfId="4" applyFont="1" applyFill="1" applyBorder="1" applyAlignment="1">
      <alignment horizontal="center"/>
    </xf>
    <xf numFmtId="0" fontId="2" fillId="6" borderId="24" xfId="4" applyFont="1" applyFill="1" applyBorder="1" applyAlignment="1">
      <alignment horizontal="right"/>
    </xf>
    <xf numFmtId="39" fontId="2" fillId="6" borderId="25" xfId="4" applyNumberFormat="1" applyFont="1" applyFill="1" applyBorder="1" applyAlignment="1"/>
    <xf numFmtId="0" fontId="2" fillId="6" borderId="0" xfId="4" applyFont="1" applyFill="1"/>
    <xf numFmtId="0" fontId="4" fillId="8" borderId="0" xfId="4" applyFont="1" applyFill="1"/>
    <xf numFmtId="0" fontId="7" fillId="6" borderId="0" xfId="4" applyFont="1" applyFill="1" applyAlignment="1">
      <alignment horizontal="center"/>
    </xf>
    <xf numFmtId="0" fontId="4" fillId="6" borderId="15" xfId="4" applyFill="1" applyBorder="1"/>
    <xf numFmtId="0" fontId="4" fillId="6" borderId="15" xfId="4" applyFill="1" applyBorder="1" applyAlignment="1">
      <alignment horizontal="center"/>
    </xf>
    <xf numFmtId="4" fontId="4" fillId="6" borderId="15" xfId="4" applyNumberFormat="1" applyFill="1" applyBorder="1"/>
    <xf numFmtId="0" fontId="4" fillId="6" borderId="1" xfId="4" applyFill="1" applyBorder="1" applyAlignment="1">
      <alignment horizontal="center"/>
    </xf>
    <xf numFmtId="4" fontId="4" fillId="6" borderId="1" xfId="4" applyNumberFormat="1" applyFill="1" applyBorder="1"/>
    <xf numFmtId="4" fontId="4" fillId="6" borderId="0" xfId="4" applyNumberFormat="1" applyFill="1" applyBorder="1"/>
    <xf numFmtId="0" fontId="5" fillId="6" borderId="34" xfId="23" applyFont="1" applyFill="1" applyBorder="1"/>
    <xf numFmtId="0" fontId="4" fillId="6" borderId="7" xfId="4" applyFill="1" applyBorder="1"/>
    <xf numFmtId="39" fontId="2" fillId="6" borderId="21" xfId="4" applyNumberFormat="1" applyFont="1" applyFill="1" applyBorder="1" applyAlignment="1">
      <alignment vertical="top" wrapText="1"/>
    </xf>
    <xf numFmtId="4" fontId="2" fillId="6" borderId="15" xfId="4" applyNumberFormat="1" applyFont="1" applyFill="1" applyBorder="1" applyAlignment="1"/>
    <xf numFmtId="4" fontId="20" fillId="6" borderId="15" xfId="4" applyNumberFormat="1" applyFont="1" applyFill="1" applyBorder="1" applyAlignment="1">
      <alignment horizontal="right"/>
    </xf>
    <xf numFmtId="4" fontId="2" fillId="6" borderId="16" xfId="4" applyNumberFormat="1" applyFont="1" applyFill="1" applyBorder="1" applyAlignment="1">
      <alignment vertical="top"/>
    </xf>
    <xf numFmtId="4" fontId="2" fillId="6" borderId="0" xfId="4" applyNumberFormat="1" applyFont="1" applyFill="1" applyBorder="1" applyAlignment="1">
      <alignment vertical="top"/>
    </xf>
    <xf numFmtId="0" fontId="5" fillId="6" borderId="24" xfId="23" applyFont="1" applyFill="1" applyBorder="1"/>
    <xf numFmtId="4" fontId="2" fillId="6" borderId="24" xfId="4" applyNumberFormat="1" applyFont="1" applyFill="1" applyBorder="1" applyAlignment="1"/>
    <xf numFmtId="4" fontId="19" fillId="6" borderId="24" xfId="4" applyNumberFormat="1" applyFont="1" applyFill="1" applyBorder="1" applyAlignment="1">
      <alignment horizontal="right"/>
    </xf>
    <xf numFmtId="169" fontId="6" fillId="6" borderId="25" xfId="24" applyFont="1" applyFill="1" applyBorder="1" applyAlignment="1">
      <alignment horizontal="right"/>
    </xf>
    <xf numFmtId="187" fontId="5" fillId="6" borderId="15" xfId="24" applyNumberFormat="1" applyFont="1" applyFill="1" applyBorder="1"/>
    <xf numFmtId="4" fontId="5" fillId="2" borderId="0" xfId="24" applyNumberFormat="1" applyFont="1" applyFill="1" applyBorder="1"/>
    <xf numFmtId="4" fontId="5" fillId="6" borderId="1" xfId="24" applyNumberFormat="1" applyFont="1" applyFill="1" applyBorder="1" applyAlignment="1"/>
    <xf numFmtId="169" fontId="6" fillId="6" borderId="0" xfId="24" applyFont="1" applyFill="1" applyBorder="1"/>
    <xf numFmtId="187" fontId="5" fillId="6" borderId="1" xfId="24" applyNumberFormat="1" applyFont="1" applyFill="1" applyBorder="1"/>
    <xf numFmtId="4" fontId="6" fillId="6" borderId="24" xfId="24" applyNumberFormat="1" applyFont="1" applyFill="1" applyBorder="1" applyAlignment="1">
      <alignment horizontal="right"/>
    </xf>
    <xf numFmtId="4" fontId="6" fillId="6" borderId="0" xfId="23" applyNumberFormat="1" applyFont="1" applyFill="1" applyAlignment="1">
      <alignment horizontal="left"/>
    </xf>
    <xf numFmtId="173" fontId="5" fillId="6" borderId="15" xfId="24" applyNumberFormat="1" applyFont="1" applyFill="1" applyBorder="1"/>
    <xf numFmtId="169" fontId="6" fillId="6" borderId="0" xfId="24" applyFont="1" applyFill="1" applyAlignment="1">
      <alignment horizontal="left"/>
    </xf>
    <xf numFmtId="185" fontId="5" fillId="6" borderId="15" xfId="24" applyNumberFormat="1" applyFont="1" applyFill="1" applyBorder="1"/>
    <xf numFmtId="185" fontId="5" fillId="6" borderId="1" xfId="24" applyNumberFormat="1" applyFont="1" applyFill="1" applyBorder="1"/>
    <xf numFmtId="4" fontId="26" fillId="6" borderId="0" xfId="23" applyNumberFormat="1" applyFont="1" applyFill="1" applyAlignment="1">
      <alignment horizontal="centerContinuous"/>
    </xf>
    <xf numFmtId="188" fontId="5" fillId="6" borderId="15" xfId="24" applyNumberFormat="1" applyFont="1" applyFill="1" applyBorder="1"/>
    <xf numFmtId="169" fontId="5" fillId="6" borderId="15" xfId="24" applyFont="1" applyFill="1" applyBorder="1" applyAlignment="1">
      <alignment horizontal="right"/>
    </xf>
    <xf numFmtId="188" fontId="5" fillId="6" borderId="1" xfId="24" applyNumberFormat="1" applyFont="1" applyFill="1" applyBorder="1"/>
    <xf numFmtId="169" fontId="5" fillId="6" borderId="1" xfId="24" applyFont="1" applyFill="1" applyBorder="1" applyAlignment="1">
      <alignment horizontal="right"/>
    </xf>
    <xf numFmtId="39" fontId="5" fillId="6" borderId="7" xfId="23" applyNumberFormat="1" applyFont="1" applyFill="1" applyBorder="1" applyAlignment="1">
      <alignment horizontal="center"/>
    </xf>
    <xf numFmtId="4" fontId="20" fillId="6" borderId="19" xfId="4" applyNumberFormat="1" applyFont="1" applyFill="1" applyBorder="1" applyAlignment="1" applyProtection="1">
      <alignment horizontal="right" vertical="center"/>
      <protection locked="0"/>
    </xf>
    <xf numFmtId="169" fontId="5" fillId="6" borderId="2" xfId="24" applyFont="1" applyFill="1" applyBorder="1" applyAlignment="1">
      <alignment horizontal="right"/>
    </xf>
    <xf numFmtId="4" fontId="22" fillId="6" borderId="25" xfId="24" applyNumberFormat="1" applyFont="1" applyFill="1" applyBorder="1" applyAlignment="1">
      <alignment horizontal="right"/>
    </xf>
    <xf numFmtId="169" fontId="5" fillId="6" borderId="7" xfId="24" applyFont="1" applyFill="1" applyBorder="1" applyAlignment="1">
      <alignment horizontal="right"/>
    </xf>
    <xf numFmtId="182" fontId="5" fillId="6" borderId="1" xfId="24" applyNumberFormat="1" applyFont="1" applyFill="1" applyBorder="1"/>
    <xf numFmtId="169" fontId="16" fillId="6" borderId="1" xfId="24" applyFont="1" applyFill="1" applyBorder="1" applyAlignment="1">
      <alignment horizontal="right"/>
    </xf>
    <xf numFmtId="4" fontId="16" fillId="6" borderId="19" xfId="24" applyNumberFormat="1" applyFont="1" applyFill="1" applyBorder="1" applyAlignment="1">
      <alignment horizontal="right"/>
    </xf>
    <xf numFmtId="0" fontId="6" fillId="6" borderId="1" xfId="23" applyFont="1" applyFill="1" applyBorder="1"/>
    <xf numFmtId="4" fontId="6" fillId="6" borderId="19" xfId="24" applyNumberFormat="1" applyFont="1" applyFill="1" applyBorder="1" applyAlignment="1">
      <alignment horizontal="right"/>
    </xf>
    <xf numFmtId="0" fontId="6" fillId="6" borderId="24" xfId="23" applyFont="1" applyFill="1" applyBorder="1"/>
    <xf numFmtId="0" fontId="6" fillId="8" borderId="0" xfId="23" applyFont="1" applyFill="1" applyBorder="1"/>
    <xf numFmtId="169" fontId="5" fillId="8" borderId="0" xfId="24" applyFont="1" applyFill="1"/>
    <xf numFmtId="0" fontId="5" fillId="8" borderId="0" xfId="23" applyFont="1" applyFill="1" applyAlignment="1">
      <alignment horizontal="center"/>
    </xf>
    <xf numFmtId="0" fontId="5" fillId="6" borderId="7" xfId="23" applyFont="1" applyFill="1" applyBorder="1" applyAlignment="1">
      <alignment horizontal="center"/>
    </xf>
    <xf numFmtId="4" fontId="4" fillId="6" borderId="21" xfId="4" applyNumberFormat="1" applyFont="1" applyFill="1" applyBorder="1" applyAlignment="1" applyProtection="1">
      <alignment horizontal="right" vertical="center"/>
      <protection locked="0"/>
    </xf>
    <xf numFmtId="0" fontId="16" fillId="6" borderId="20" xfId="23" applyFont="1" applyFill="1" applyBorder="1"/>
    <xf numFmtId="169" fontId="5" fillId="6" borderId="7" xfId="24" applyFont="1" applyFill="1" applyBorder="1"/>
    <xf numFmtId="169" fontId="16" fillId="6" borderId="7" xfId="24" applyFont="1" applyFill="1" applyBorder="1" applyAlignment="1">
      <alignment horizontal="right"/>
    </xf>
    <xf numFmtId="4" fontId="16" fillId="8" borderId="21" xfId="24" applyNumberFormat="1" applyFont="1" applyFill="1" applyBorder="1" applyAlignment="1">
      <alignment horizontal="right"/>
    </xf>
    <xf numFmtId="4" fontId="6" fillId="8" borderId="19" xfId="24" applyNumberFormat="1" applyFont="1" applyFill="1" applyBorder="1" applyAlignment="1">
      <alignment horizontal="right"/>
    </xf>
    <xf numFmtId="4" fontId="16" fillId="6" borderId="21" xfId="24" applyNumberFormat="1" applyFont="1" applyFill="1" applyBorder="1" applyAlignment="1">
      <alignment horizontal="right"/>
    </xf>
    <xf numFmtId="0" fontId="5" fillId="6" borderId="14" xfId="23" quotePrefix="1" applyFont="1" applyFill="1" applyBorder="1" applyAlignment="1">
      <alignment horizontal="left"/>
    </xf>
    <xf numFmtId="4" fontId="5" fillId="6" borderId="0" xfId="23" applyNumberFormat="1" applyFont="1" applyFill="1" applyBorder="1" applyAlignment="1">
      <alignment horizontal="right"/>
    </xf>
    <xf numFmtId="0" fontId="5" fillId="6" borderId="0" xfId="23" applyFont="1" applyFill="1" applyBorder="1" applyAlignment="1">
      <alignment horizontal="centerContinuous"/>
    </xf>
    <xf numFmtId="173" fontId="5" fillId="6" borderId="0" xfId="23" applyNumberFormat="1" applyFont="1" applyFill="1" applyBorder="1"/>
    <xf numFmtId="2" fontId="6" fillId="6" borderId="0" xfId="23" applyNumberFormat="1" applyFont="1" applyFill="1" applyBorder="1" applyAlignment="1">
      <alignment horizontal="right"/>
    </xf>
    <xf numFmtId="0" fontId="5" fillId="6" borderId="13" xfId="23" applyFont="1" applyFill="1" applyBorder="1"/>
    <xf numFmtId="4" fontId="5" fillId="6" borderId="15" xfId="24" applyNumberFormat="1" applyFont="1" applyFill="1" applyBorder="1" applyAlignment="1">
      <alignment horizontal="right"/>
    </xf>
    <xf numFmtId="0" fontId="2" fillId="6" borderId="0" xfId="30" applyFont="1" applyFill="1" applyBorder="1"/>
    <xf numFmtId="39" fontId="28" fillId="6" borderId="0" xfId="30" applyNumberFormat="1" applyFont="1" applyFill="1" applyBorder="1"/>
    <xf numFmtId="39" fontId="28" fillId="6" borderId="0" xfId="30" applyNumberFormat="1" applyFont="1" applyFill="1" applyBorder="1" applyAlignment="1">
      <alignment horizontal="centerContinuous"/>
    </xf>
    <xf numFmtId="39" fontId="29" fillId="6" borderId="0" xfId="30" applyNumberFormat="1" applyFont="1" applyFill="1" applyBorder="1" applyAlignment="1">
      <alignment horizontal="right"/>
    </xf>
    <xf numFmtId="2" fontId="29" fillId="6" borderId="0" xfId="30" applyNumberFormat="1" applyFont="1" applyFill="1" applyBorder="1" applyAlignment="1">
      <alignment horizontal="right"/>
    </xf>
    <xf numFmtId="0" fontId="4" fillId="6" borderId="15" xfId="30" applyFont="1" applyFill="1" applyBorder="1"/>
    <xf numFmtId="39" fontId="4" fillId="6" borderId="15" xfId="30" applyNumberFormat="1" applyFont="1" applyFill="1" applyBorder="1"/>
    <xf numFmtId="39" fontId="4" fillId="6" borderId="15" xfId="30" applyNumberFormat="1" applyFont="1" applyFill="1" applyBorder="1" applyAlignment="1">
      <alignment horizontal="centerContinuous"/>
    </xf>
    <xf numFmtId="39" fontId="4" fillId="6" borderId="15" xfId="30" applyNumberFormat="1" applyFont="1" applyFill="1" applyBorder="1" applyAlignment="1">
      <alignment vertical="top" wrapText="1"/>
    </xf>
    <xf numFmtId="4" fontId="5" fillId="6" borderId="16" xfId="31" applyNumberFormat="1" applyFont="1" applyFill="1" applyBorder="1"/>
    <xf numFmtId="0" fontId="4" fillId="6" borderId="1" xfId="30" applyFont="1" applyFill="1" applyBorder="1"/>
    <xf numFmtId="39" fontId="4" fillId="6" borderId="1" xfId="30" applyNumberFormat="1" applyFont="1" applyFill="1" applyBorder="1"/>
    <xf numFmtId="39" fontId="4" fillId="6" borderId="1" xfId="30" applyNumberFormat="1" applyFont="1" applyFill="1" applyBorder="1" applyAlignment="1">
      <alignment horizontal="centerContinuous"/>
    </xf>
    <xf numFmtId="39" fontId="4" fillId="6" borderId="1" xfId="30" applyNumberFormat="1" applyFont="1" applyFill="1" applyBorder="1" applyAlignment="1">
      <alignment vertical="top" wrapText="1"/>
    </xf>
    <xf numFmtId="4" fontId="5" fillId="6" borderId="19" xfId="31" applyNumberFormat="1" applyFont="1" applyFill="1" applyBorder="1"/>
    <xf numFmtId="0" fontId="4" fillId="6" borderId="24" xfId="30" applyFont="1" applyFill="1" applyBorder="1"/>
    <xf numFmtId="39" fontId="4" fillId="6" borderId="24" xfId="30" applyNumberFormat="1" applyFont="1" applyFill="1" applyBorder="1"/>
    <xf numFmtId="39" fontId="4" fillId="6" borderId="24" xfId="30" applyNumberFormat="1" applyFont="1" applyFill="1" applyBorder="1" applyAlignment="1">
      <alignment horizontal="centerContinuous"/>
    </xf>
    <xf numFmtId="39" fontId="2" fillId="6" borderId="24" xfId="30" applyNumberFormat="1" applyFont="1" applyFill="1" applyBorder="1" applyAlignment="1">
      <alignment horizontal="right"/>
    </xf>
    <xf numFmtId="4" fontId="2" fillId="6" borderId="25" xfId="30" applyNumberFormat="1" applyFont="1" applyFill="1" applyBorder="1" applyAlignment="1">
      <alignment horizontal="right"/>
    </xf>
    <xf numFmtId="173" fontId="5" fillId="6" borderId="1" xfId="24" applyNumberFormat="1" applyFont="1" applyFill="1" applyBorder="1"/>
    <xf numFmtId="4" fontId="5" fillId="5" borderId="1" xfId="24" applyNumberFormat="1" applyFont="1" applyFill="1" applyBorder="1"/>
    <xf numFmtId="0" fontId="5" fillId="5" borderId="1" xfId="23" applyFont="1" applyFill="1" applyBorder="1" applyAlignment="1">
      <alignment horizontal="center"/>
    </xf>
    <xf numFmtId="4" fontId="4" fillId="5" borderId="19" xfId="4" applyNumberFormat="1" applyFont="1" applyFill="1" applyBorder="1" applyAlignment="1" applyProtection="1">
      <alignment horizontal="right" vertical="center"/>
      <protection locked="0"/>
    </xf>
    <xf numFmtId="4" fontId="6" fillId="6" borderId="0" xfId="24" applyNumberFormat="1" applyFont="1" applyFill="1" applyBorder="1"/>
    <xf numFmtId="0" fontId="5" fillId="6" borderId="14" xfId="23" applyFont="1" applyFill="1" applyBorder="1" applyAlignment="1">
      <alignment horizontal="center"/>
    </xf>
    <xf numFmtId="0" fontId="5" fillId="6" borderId="8" xfId="23" applyFont="1" applyFill="1" applyBorder="1"/>
    <xf numFmtId="187" fontId="5" fillId="6" borderId="5" xfId="24" applyNumberFormat="1" applyFont="1" applyFill="1" applyBorder="1"/>
    <xf numFmtId="0" fontId="5" fillId="6" borderId="2" xfId="23" applyFont="1" applyFill="1" applyBorder="1" applyAlignment="1">
      <alignment horizontal="center"/>
    </xf>
    <xf numFmtId="4" fontId="5" fillId="6" borderId="18" xfId="24" applyNumberFormat="1" applyFont="1" applyFill="1" applyBorder="1"/>
    <xf numFmtId="0" fontId="5" fillId="6" borderId="5" xfId="23" applyFont="1" applyFill="1" applyBorder="1" applyAlignment="1">
      <alignment horizontal="center"/>
    </xf>
    <xf numFmtId="4" fontId="6" fillId="8" borderId="15" xfId="24" applyNumberFormat="1" applyFont="1" applyFill="1" applyBorder="1"/>
    <xf numFmtId="0" fontId="2" fillId="2" borderId="15" xfId="23" applyFont="1" applyFill="1" applyBorder="1" applyAlignment="1">
      <alignment horizontal="center" vertical="top"/>
    </xf>
    <xf numFmtId="0" fontId="4" fillId="2" borderId="24" xfId="23" applyFont="1" applyFill="1" applyBorder="1" applyAlignment="1">
      <alignment vertical="top"/>
    </xf>
    <xf numFmtId="0" fontId="2" fillId="2" borderId="24" xfId="23" applyFont="1" applyFill="1" applyBorder="1" applyAlignment="1">
      <alignment horizontal="right" vertical="top"/>
    </xf>
    <xf numFmtId="4" fontId="2" fillId="2" borderId="24" xfId="23" applyNumberFormat="1" applyFont="1" applyFill="1" applyBorder="1" applyAlignment="1">
      <alignment vertical="top"/>
    </xf>
    <xf numFmtId="171" fontId="2" fillId="2" borderId="25" xfId="8" applyNumberFormat="1" applyFont="1" applyFill="1" applyBorder="1" applyAlignment="1">
      <alignment vertical="top" wrapText="1"/>
    </xf>
    <xf numFmtId="4" fontId="2" fillId="6" borderId="0" xfId="4" applyNumberFormat="1" applyFont="1" applyFill="1" applyBorder="1"/>
    <xf numFmtId="169" fontId="30" fillId="6" borderId="0" xfId="32" applyFont="1" applyFill="1" applyBorder="1" applyAlignment="1">
      <alignment horizontal="right"/>
    </xf>
    <xf numFmtId="4" fontId="30" fillId="6" borderId="0" xfId="4" applyNumberFormat="1" applyFont="1" applyFill="1" applyBorder="1" applyAlignment="1">
      <alignment horizontal="center"/>
    </xf>
    <xf numFmtId="169" fontId="31" fillId="6" borderId="0" xfId="32" applyFont="1" applyFill="1" applyBorder="1" applyAlignment="1">
      <alignment horizontal="right"/>
    </xf>
    <xf numFmtId="4" fontId="31" fillId="6" borderId="0" xfId="4" applyNumberFormat="1" applyFont="1" applyFill="1" applyBorder="1" applyAlignment="1">
      <alignment horizontal="right"/>
    </xf>
    <xf numFmtId="4" fontId="4" fillId="6" borderId="14" xfId="4" applyNumberFormat="1" applyFont="1" applyFill="1" applyBorder="1"/>
    <xf numFmtId="169" fontId="4" fillId="6" borderId="15" xfId="32" applyFont="1" applyFill="1" applyBorder="1" applyAlignment="1">
      <alignment horizontal="right"/>
    </xf>
    <xf numFmtId="4" fontId="4" fillId="6" borderId="15" xfId="4" applyNumberFormat="1" applyFont="1" applyFill="1" applyBorder="1" applyAlignment="1">
      <alignment horizontal="center"/>
    </xf>
    <xf numFmtId="4" fontId="4" fillId="6" borderId="35" xfId="4" applyNumberFormat="1" applyFont="1" applyFill="1" applyBorder="1"/>
    <xf numFmtId="4" fontId="4" fillId="6" borderId="18" xfId="4" applyNumberFormat="1" applyFont="1" applyFill="1" applyBorder="1"/>
    <xf numFmtId="169" fontId="4" fillId="6" borderId="1" xfId="32" applyFont="1" applyFill="1" applyBorder="1" applyAlignment="1">
      <alignment horizontal="right"/>
    </xf>
    <xf numFmtId="4" fontId="4" fillId="6" borderId="1" xfId="4" applyNumberFormat="1" applyFont="1" applyFill="1" applyBorder="1" applyAlignment="1">
      <alignment horizontal="center"/>
    </xf>
    <xf numFmtId="4" fontId="4" fillId="6" borderId="19" xfId="4" applyNumberFormat="1" applyFont="1" applyFill="1" applyBorder="1"/>
    <xf numFmtId="4" fontId="4" fillId="6" borderId="27" xfId="4" applyNumberFormat="1" applyFont="1" applyFill="1" applyBorder="1"/>
    <xf numFmtId="169" fontId="4" fillId="6" borderId="24" xfId="32" applyFont="1" applyFill="1" applyBorder="1" applyAlignment="1">
      <alignment horizontal="right"/>
    </xf>
    <xf numFmtId="4" fontId="4" fillId="6" borderId="24" xfId="4" applyNumberFormat="1" applyFont="1" applyFill="1" applyBorder="1" applyAlignment="1">
      <alignment horizontal="center"/>
    </xf>
    <xf numFmtId="169" fontId="2" fillId="4" borderId="24" xfId="32" applyFont="1" applyFill="1" applyBorder="1" applyAlignment="1">
      <alignment horizontal="right"/>
    </xf>
    <xf numFmtId="4" fontId="2" fillId="4" borderId="25" xfId="4" applyNumberFormat="1" applyFont="1" applyFill="1" applyBorder="1" applyAlignment="1">
      <alignment horizontal="right"/>
    </xf>
    <xf numFmtId="4" fontId="4" fillId="6" borderId="14" xfId="4" applyNumberFormat="1" applyFont="1" applyFill="1" applyBorder="1" applyAlignment="1">
      <alignment horizontal="center"/>
    </xf>
    <xf numFmtId="169" fontId="4" fillId="6" borderId="15" xfId="32" applyFont="1" applyFill="1" applyBorder="1"/>
    <xf numFmtId="4" fontId="4" fillId="6" borderId="8" xfId="4" applyNumberFormat="1" applyFont="1" applyFill="1" applyBorder="1"/>
    <xf numFmtId="169" fontId="4" fillId="6" borderId="5" xfId="32" applyFont="1" applyFill="1" applyBorder="1" applyAlignment="1">
      <alignment horizontal="right"/>
    </xf>
    <xf numFmtId="169" fontId="4" fillId="6" borderId="18" xfId="32" applyFont="1" applyFill="1" applyBorder="1"/>
    <xf numFmtId="4" fontId="4" fillId="6" borderId="5" xfId="4" applyNumberFormat="1" applyFont="1" applyFill="1" applyBorder="1" applyAlignment="1">
      <alignment horizontal="center"/>
    </xf>
    <xf numFmtId="169" fontId="4" fillId="6" borderId="1" xfId="32" applyFont="1" applyFill="1" applyBorder="1"/>
    <xf numFmtId="4" fontId="2" fillId="6" borderId="18" xfId="4" applyNumberFormat="1" applyFont="1" applyFill="1" applyBorder="1"/>
    <xf numFmtId="169" fontId="4" fillId="7" borderId="36" xfId="32" applyFont="1" applyFill="1" applyBorder="1" applyAlignment="1">
      <alignment horizontal="right"/>
    </xf>
    <xf numFmtId="4" fontId="4" fillId="7" borderId="37" xfId="4" applyNumberFormat="1" applyFont="1" applyFill="1" applyBorder="1" applyAlignment="1">
      <alignment horizontal="center"/>
    </xf>
    <xf numFmtId="169" fontId="4" fillId="7" borderId="37" xfId="32" applyFont="1" applyFill="1" applyBorder="1"/>
    <xf numFmtId="4" fontId="4" fillId="7" borderId="38" xfId="4" applyNumberFormat="1" applyFont="1" applyFill="1" applyBorder="1"/>
    <xf numFmtId="4" fontId="4" fillId="6" borderId="20" xfId="4" applyNumberFormat="1" applyFont="1" applyFill="1" applyBorder="1"/>
    <xf numFmtId="169" fontId="4" fillId="6" borderId="7" xfId="32" applyFont="1" applyFill="1" applyBorder="1" applyAlignment="1">
      <alignment horizontal="right"/>
    </xf>
    <xf numFmtId="4" fontId="4" fillId="6" borderId="7" xfId="4" applyNumberFormat="1" applyFont="1" applyFill="1" applyBorder="1" applyAlignment="1">
      <alignment horizontal="center"/>
    </xf>
    <xf numFmtId="169" fontId="4" fillId="6" borderId="7" xfId="32" applyFont="1" applyFill="1" applyBorder="1"/>
    <xf numFmtId="169" fontId="2" fillId="6" borderId="24" xfId="32" applyFont="1" applyFill="1" applyBorder="1" applyAlignment="1">
      <alignment horizontal="right"/>
    </xf>
    <xf numFmtId="4" fontId="2" fillId="6" borderId="25" xfId="4" applyNumberFormat="1" applyFont="1" applyFill="1" applyBorder="1" applyAlignment="1">
      <alignment horizontal="right"/>
    </xf>
    <xf numFmtId="0" fontId="16" fillId="6" borderId="15" xfId="4" applyFont="1" applyFill="1" applyBorder="1" applyAlignment="1">
      <alignment horizontal="right"/>
    </xf>
    <xf numFmtId="4" fontId="2" fillId="6" borderId="15" xfId="4" applyNumberFormat="1" applyFont="1" applyFill="1" applyBorder="1" applyAlignment="1">
      <alignment horizontal="right"/>
    </xf>
    <xf numFmtId="4" fontId="16" fillId="6" borderId="35" xfId="4" applyNumberFormat="1" applyFont="1" applyFill="1" applyBorder="1"/>
    <xf numFmtId="0" fontId="16" fillId="6" borderId="1" xfId="4" applyFont="1" applyFill="1" applyBorder="1" applyAlignment="1">
      <alignment horizontal="right"/>
    </xf>
    <xf numFmtId="4" fontId="2" fillId="6" borderId="1" xfId="4" applyNumberFormat="1" applyFont="1" applyFill="1" applyBorder="1" applyAlignment="1">
      <alignment horizontal="right"/>
    </xf>
    <xf numFmtId="4" fontId="16" fillId="6" borderId="21" xfId="4" applyNumberFormat="1" applyFont="1" applyFill="1" applyBorder="1"/>
    <xf numFmtId="0" fontId="16" fillId="6" borderId="24" xfId="4" applyFont="1" applyFill="1" applyBorder="1" applyAlignment="1">
      <alignment horizontal="right"/>
    </xf>
    <xf numFmtId="4" fontId="4" fillId="6" borderId="24" xfId="4" applyNumberFormat="1" applyFill="1" applyBorder="1"/>
    <xf numFmtId="4" fontId="2" fillId="6" borderId="24" xfId="4" applyNumberFormat="1" applyFont="1" applyFill="1" applyBorder="1" applyAlignment="1">
      <alignment horizontal="right"/>
    </xf>
    <xf numFmtId="4" fontId="16" fillId="6" borderId="25" xfId="4" applyNumberFormat="1" applyFont="1" applyFill="1" applyBorder="1"/>
    <xf numFmtId="0" fontId="4" fillId="2" borderId="22" xfId="23" applyFont="1" applyFill="1" applyBorder="1" applyAlignment="1">
      <alignment vertical="top"/>
    </xf>
    <xf numFmtId="0" fontId="2" fillId="2" borderId="15" xfId="4" applyFont="1" applyFill="1" applyBorder="1" applyAlignment="1">
      <alignment horizontal="left" vertical="top"/>
    </xf>
    <xf numFmtId="169" fontId="4" fillId="2" borderId="15" xfId="33" applyFont="1" applyFill="1" applyBorder="1" applyAlignment="1">
      <alignment vertical="top"/>
    </xf>
    <xf numFmtId="169" fontId="2" fillId="2" borderId="15" xfId="33" applyFont="1" applyFill="1" applyBorder="1" applyAlignment="1">
      <alignment horizontal="right" vertical="top"/>
    </xf>
    <xf numFmtId="169" fontId="2" fillId="2" borderId="16" xfId="33" applyFont="1" applyFill="1" applyBorder="1" applyAlignment="1">
      <alignment horizontal="right" vertical="top"/>
    </xf>
    <xf numFmtId="0" fontId="4" fillId="2" borderId="17" xfId="23" applyFont="1" applyFill="1" applyBorder="1" applyAlignment="1">
      <alignment vertical="top"/>
    </xf>
    <xf numFmtId="0" fontId="4" fillId="2" borderId="1" xfId="4" applyFont="1" applyFill="1" applyBorder="1" applyAlignment="1">
      <alignment horizontal="left" vertical="top"/>
    </xf>
    <xf numFmtId="4" fontId="4" fillId="2" borderId="1" xfId="33" applyNumberFormat="1" applyFont="1" applyFill="1" applyBorder="1" applyAlignment="1">
      <alignment vertical="top" wrapText="1"/>
    </xf>
    <xf numFmtId="169" fontId="4" fillId="2" borderId="1" xfId="33" applyFont="1" applyFill="1" applyBorder="1" applyAlignment="1">
      <alignment horizontal="centerContinuous" vertical="top"/>
    </xf>
    <xf numFmtId="4" fontId="4" fillId="2" borderId="19" xfId="33" applyNumberFormat="1" applyFont="1" applyFill="1" applyBorder="1" applyAlignment="1">
      <alignment vertical="top" wrapText="1"/>
    </xf>
    <xf numFmtId="189" fontId="4" fillId="2" borderId="1" xfId="33" applyNumberFormat="1" applyFont="1" applyFill="1" applyBorder="1" applyAlignment="1">
      <alignment horizontal="centerContinuous" vertical="top"/>
    </xf>
    <xf numFmtId="4" fontId="4" fillId="2" borderId="1" xfId="34" applyNumberFormat="1" applyFont="1" applyFill="1" applyBorder="1" applyAlignment="1">
      <alignment vertical="top" wrapText="1"/>
    </xf>
    <xf numFmtId="0" fontId="4" fillId="2" borderId="23" xfId="23" applyFont="1" applyFill="1" applyBorder="1" applyAlignment="1">
      <alignment vertical="top"/>
    </xf>
    <xf numFmtId="4" fontId="2" fillId="2" borderId="25" xfId="33" applyNumberFormat="1" applyFont="1" applyFill="1" applyBorder="1" applyAlignment="1">
      <alignment vertical="top" wrapText="1"/>
    </xf>
    <xf numFmtId="0" fontId="6" fillId="6" borderId="0" xfId="4" applyFont="1" applyFill="1" applyBorder="1"/>
    <xf numFmtId="0" fontId="5" fillId="6" borderId="0" xfId="4" applyFont="1" applyFill="1" applyBorder="1"/>
    <xf numFmtId="0" fontId="6" fillId="6" borderId="0" xfId="4" applyFont="1" applyFill="1" applyBorder="1" applyAlignment="1">
      <alignment horizontal="right"/>
    </xf>
    <xf numFmtId="39" fontId="6" fillId="6" borderId="0" xfId="4" applyNumberFormat="1" applyFont="1" applyFill="1" applyBorder="1" applyAlignment="1">
      <alignment horizontal="right"/>
    </xf>
    <xf numFmtId="0" fontId="5" fillId="6" borderId="39" xfId="23" applyFont="1" applyFill="1" applyBorder="1"/>
    <xf numFmtId="0" fontId="5" fillId="6" borderId="15" xfId="4" applyFont="1" applyFill="1" applyBorder="1"/>
    <xf numFmtId="4" fontId="5" fillId="6" borderId="15" xfId="4" applyNumberFormat="1" applyFont="1" applyFill="1" applyBorder="1"/>
    <xf numFmtId="0" fontId="5" fillId="6" borderId="15" xfId="4" applyFont="1" applyFill="1" applyBorder="1" applyAlignment="1">
      <alignment horizontal="centerContinuous"/>
    </xf>
    <xf numFmtId="4" fontId="5" fillId="6" borderId="15" xfId="4" applyNumberFormat="1" applyFont="1" applyFill="1" applyBorder="1" applyAlignment="1">
      <alignment horizontal="right"/>
    </xf>
    <xf numFmtId="4" fontId="5" fillId="6" borderId="16" xfId="4" applyNumberFormat="1" applyFont="1" applyFill="1" applyBorder="1" applyAlignment="1">
      <alignment horizontal="right"/>
    </xf>
    <xf numFmtId="0" fontId="5" fillId="6" borderId="40" xfId="23" applyFont="1" applyFill="1" applyBorder="1"/>
    <xf numFmtId="0" fontId="5" fillId="6" borderId="1" xfId="4" applyFont="1" applyFill="1" applyBorder="1" applyAlignment="1">
      <alignment vertical="top"/>
    </xf>
    <xf numFmtId="4" fontId="5" fillId="6" borderId="1" xfId="4" applyNumberFormat="1" applyFont="1" applyFill="1" applyBorder="1"/>
    <xf numFmtId="0" fontId="5" fillId="6" borderId="1" xfId="4" applyFont="1" applyFill="1" applyBorder="1" applyAlignment="1">
      <alignment horizontal="centerContinuous"/>
    </xf>
    <xf numFmtId="4" fontId="5" fillId="6" borderId="1" xfId="4" applyNumberFormat="1" applyFont="1" applyFill="1" applyBorder="1" applyAlignment="1">
      <alignment horizontal="right"/>
    </xf>
    <xf numFmtId="4" fontId="5" fillId="6" borderId="19" xfId="4" applyNumberFormat="1" applyFont="1" applyFill="1" applyBorder="1" applyAlignment="1">
      <alignment horizontal="right"/>
    </xf>
    <xf numFmtId="0" fontId="5" fillId="6" borderId="1" xfId="4" applyFont="1" applyFill="1" applyBorder="1"/>
    <xf numFmtId="0" fontId="5" fillId="6" borderId="1" xfId="4" applyFont="1" applyFill="1" applyBorder="1" applyAlignment="1">
      <alignment horizontal="center"/>
    </xf>
    <xf numFmtId="0" fontId="5" fillId="6" borderId="41" xfId="23" applyFont="1" applyFill="1" applyBorder="1"/>
    <xf numFmtId="0" fontId="5" fillId="6" borderId="24" xfId="4" applyFont="1" applyFill="1" applyBorder="1"/>
    <xf numFmtId="4" fontId="6" fillId="6" borderId="25" xfId="4" applyNumberFormat="1" applyFont="1" applyFill="1" applyBorder="1" applyAlignment="1">
      <alignment horizontal="right"/>
    </xf>
    <xf numFmtId="0" fontId="6" fillId="2" borderId="0" xfId="4" applyFont="1" applyFill="1" applyBorder="1" applyAlignment="1">
      <alignment vertical="top"/>
    </xf>
    <xf numFmtId="0" fontId="5" fillId="6" borderId="0" xfId="35" applyFont="1" applyFill="1"/>
    <xf numFmtId="0" fontId="5" fillId="2" borderId="15" xfId="4" applyFont="1" applyFill="1" applyBorder="1" applyAlignment="1">
      <alignment vertical="top"/>
    </xf>
    <xf numFmtId="0" fontId="5" fillId="2" borderId="1" xfId="4" applyFont="1" applyFill="1" applyBorder="1" applyAlignment="1">
      <alignment vertical="top"/>
    </xf>
    <xf numFmtId="0" fontId="5" fillId="4" borderId="7" xfId="4" applyFont="1" applyFill="1" applyBorder="1" applyAlignment="1">
      <alignment vertical="top"/>
    </xf>
    <xf numFmtId="169" fontId="6" fillId="6" borderId="7" xfId="24" applyFont="1" applyFill="1" applyBorder="1" applyAlignment="1">
      <alignment horizontal="right"/>
    </xf>
    <xf numFmtId="4" fontId="6" fillId="6" borderId="21" xfId="4" applyNumberFormat="1" applyFont="1" applyFill="1" applyBorder="1" applyAlignment="1">
      <alignment horizontal="right"/>
    </xf>
    <xf numFmtId="0" fontId="22" fillId="2" borderId="15" xfId="4" applyFont="1" applyFill="1" applyBorder="1" applyAlignment="1">
      <alignment vertical="top"/>
    </xf>
    <xf numFmtId="169" fontId="6" fillId="6" borderId="15" xfId="24" applyFont="1" applyFill="1" applyBorder="1" applyAlignment="1">
      <alignment horizontal="right"/>
    </xf>
    <xf numFmtId="169" fontId="22" fillId="6" borderId="16" xfId="24" applyFont="1" applyFill="1" applyBorder="1" applyAlignment="1">
      <alignment horizontal="right"/>
    </xf>
    <xf numFmtId="0" fontId="5" fillId="6" borderId="42" xfId="23" applyFont="1" applyFill="1" applyBorder="1"/>
    <xf numFmtId="0" fontId="22" fillId="2" borderId="2" xfId="4" applyFont="1" applyFill="1" applyBorder="1" applyAlignment="1">
      <alignment vertical="top"/>
    </xf>
    <xf numFmtId="169" fontId="5" fillId="6" borderId="2" xfId="24" applyFont="1" applyFill="1" applyBorder="1"/>
    <xf numFmtId="169" fontId="6" fillId="6" borderId="2" xfId="24" applyFont="1" applyFill="1" applyBorder="1" applyAlignment="1">
      <alignment horizontal="right"/>
    </xf>
    <xf numFmtId="169" fontId="22" fillId="6" borderId="19" xfId="24" applyFont="1" applyFill="1" applyBorder="1" applyAlignment="1">
      <alignment horizontal="right"/>
    </xf>
    <xf numFmtId="0" fontId="22" fillId="2" borderId="24" xfId="4" applyFont="1" applyFill="1" applyBorder="1" applyAlignment="1">
      <alignment vertical="top"/>
    </xf>
    <xf numFmtId="169" fontId="22" fillId="6" borderId="25" xfId="24" applyFont="1" applyFill="1" applyBorder="1" applyAlignment="1">
      <alignment horizontal="right"/>
    </xf>
    <xf numFmtId="4" fontId="5" fillId="6" borderId="16" xfId="4" applyNumberFormat="1" applyFont="1" applyFill="1" applyBorder="1" applyAlignment="1">
      <alignment horizontal="right" vertical="top"/>
    </xf>
    <xf numFmtId="169" fontId="6" fillId="6" borderId="24" xfId="24" applyFont="1" applyFill="1" applyBorder="1" applyAlignment="1">
      <alignment horizontal="right" vertical="top"/>
    </xf>
    <xf numFmtId="0" fontId="22" fillId="6" borderId="15" xfId="23" applyFont="1" applyFill="1" applyBorder="1" applyAlignment="1">
      <alignment vertical="top"/>
    </xf>
    <xf numFmtId="169" fontId="6" fillId="6" borderId="15" xfId="24" applyFont="1" applyFill="1" applyBorder="1" applyAlignment="1">
      <alignment horizontal="right" vertical="top"/>
    </xf>
    <xf numFmtId="169" fontId="6" fillId="6" borderId="35" xfId="24" applyFont="1" applyFill="1" applyBorder="1" applyAlignment="1">
      <alignment horizontal="right" vertical="top"/>
    </xf>
    <xf numFmtId="0" fontId="22" fillId="6" borderId="1" xfId="23" applyFont="1" applyFill="1" applyBorder="1" applyAlignment="1">
      <alignment vertical="top"/>
    </xf>
    <xf numFmtId="169" fontId="6" fillId="6" borderId="1" xfId="24" applyFont="1" applyFill="1" applyBorder="1" applyAlignment="1">
      <alignment horizontal="right" vertical="top"/>
    </xf>
    <xf numFmtId="0" fontId="22" fillId="6" borderId="24" xfId="23" applyFont="1" applyFill="1" applyBorder="1" applyAlignment="1">
      <alignment vertical="top"/>
    </xf>
    <xf numFmtId="2" fontId="5" fillId="6" borderId="22" xfId="23" applyNumberFormat="1" applyFont="1" applyFill="1" applyBorder="1" applyAlignment="1">
      <alignment horizontal="right" vertical="top"/>
    </xf>
    <xf numFmtId="4" fontId="22" fillId="6" borderId="16" xfId="4" applyNumberFormat="1" applyFont="1" applyFill="1" applyBorder="1" applyAlignment="1">
      <alignment horizontal="right"/>
    </xf>
    <xf numFmtId="2" fontId="5" fillId="6" borderId="17" xfId="23" applyNumberFormat="1" applyFont="1" applyFill="1" applyBorder="1" applyAlignment="1">
      <alignment horizontal="right" vertical="top"/>
    </xf>
    <xf numFmtId="4" fontId="22" fillId="6" borderId="19" xfId="4" applyNumberFormat="1" applyFont="1" applyFill="1" applyBorder="1" applyAlignment="1">
      <alignment horizontal="right"/>
    </xf>
    <xf numFmtId="4" fontId="22" fillId="6" borderId="25" xfId="4" applyNumberFormat="1" applyFont="1" applyFill="1" applyBorder="1" applyAlignment="1">
      <alignment horizontal="right"/>
    </xf>
    <xf numFmtId="0" fontId="6" fillId="6" borderId="0" xfId="28" applyFont="1" applyFill="1" applyBorder="1" applyAlignment="1" applyProtection="1">
      <alignment horizontal="left" vertical="center"/>
    </xf>
    <xf numFmtId="169" fontId="5" fillId="6" borderId="0" xfId="24" applyFont="1" applyFill="1" applyBorder="1" applyAlignment="1">
      <alignment vertical="center"/>
    </xf>
    <xf numFmtId="0" fontId="5" fillId="6" borderId="0" xfId="28" quotePrefix="1" applyFont="1" applyFill="1" applyBorder="1" applyAlignment="1" applyProtection="1">
      <alignment horizontal="left" vertical="center"/>
    </xf>
    <xf numFmtId="169" fontId="5" fillId="6" borderId="0" xfId="24" quotePrefix="1" applyFont="1" applyFill="1" applyBorder="1" applyAlignment="1" applyProtection="1">
      <alignment horizontal="left" vertical="center"/>
    </xf>
    <xf numFmtId="4" fontId="6" fillId="6" borderId="0" xfId="23" applyNumberFormat="1" applyFont="1" applyFill="1"/>
    <xf numFmtId="169" fontId="5" fillId="6" borderId="27" xfId="29" quotePrefix="1" applyFont="1" applyFill="1" applyBorder="1" applyAlignment="1" applyProtection="1">
      <alignment horizontal="left" vertical="center"/>
    </xf>
    <xf numFmtId="169" fontId="6" fillId="6" borderId="43" xfId="24" applyFont="1" applyFill="1" applyBorder="1" applyAlignment="1">
      <alignment horizontal="right"/>
    </xf>
    <xf numFmtId="4" fontId="6" fillId="6" borderId="25" xfId="24" applyNumberFormat="1" applyFont="1" applyFill="1" applyBorder="1" applyAlignment="1" applyProtection="1">
      <alignment horizontal="right" vertical="center"/>
    </xf>
    <xf numFmtId="169" fontId="6" fillId="6" borderId="0" xfId="24" applyFont="1" applyFill="1" applyBorder="1" applyAlignment="1" applyProtection="1">
      <alignment horizontal="right" vertical="center"/>
    </xf>
    <xf numFmtId="0" fontId="5" fillId="6" borderId="15" xfId="23" applyFont="1" applyFill="1" applyBorder="1" applyAlignment="1">
      <alignment horizontal="right"/>
    </xf>
    <xf numFmtId="189" fontId="5" fillId="6" borderId="15" xfId="24" applyNumberFormat="1" applyFont="1" applyFill="1" applyBorder="1"/>
    <xf numFmtId="169" fontId="5" fillId="6" borderId="16" xfId="24" applyFont="1" applyFill="1" applyBorder="1"/>
    <xf numFmtId="0" fontId="5" fillId="6" borderId="1" xfId="23" applyFont="1" applyFill="1" applyBorder="1" applyAlignment="1">
      <alignment horizontal="right"/>
    </xf>
    <xf numFmtId="169" fontId="5" fillId="6" borderId="1" xfId="24" applyFont="1" applyFill="1" applyBorder="1" applyAlignment="1">
      <alignment horizontal="center"/>
    </xf>
    <xf numFmtId="169" fontId="5" fillId="6" borderId="1" xfId="24" applyFont="1" applyFill="1" applyBorder="1" applyAlignment="1"/>
    <xf numFmtId="0" fontId="6" fillId="6" borderId="24" xfId="23" applyFont="1" applyFill="1" applyBorder="1" applyAlignment="1">
      <alignment horizontal="right"/>
    </xf>
    <xf numFmtId="169" fontId="6" fillId="5" borderId="24" xfId="24" applyFont="1" applyFill="1" applyBorder="1"/>
    <xf numFmtId="0" fontId="6" fillId="5" borderId="24" xfId="23" applyFont="1" applyFill="1" applyBorder="1" applyAlignment="1">
      <alignment horizontal="center"/>
    </xf>
    <xf numFmtId="4" fontId="6" fillId="6" borderId="25" xfId="24" applyNumberFormat="1" applyFont="1" applyFill="1" applyBorder="1"/>
    <xf numFmtId="169" fontId="6" fillId="6" borderId="0" xfId="24" applyFont="1" applyFill="1"/>
    <xf numFmtId="0" fontId="6" fillId="6" borderId="0" xfId="23" applyFont="1" applyFill="1" applyAlignment="1">
      <alignment horizontal="center"/>
    </xf>
    <xf numFmtId="4" fontId="6" fillId="6" borderId="0" xfId="36" applyNumberFormat="1" applyFont="1" applyFill="1" applyBorder="1" applyAlignment="1"/>
    <xf numFmtId="39" fontId="33" fillId="6" borderId="17" xfId="26" applyFont="1" applyFill="1" applyBorder="1"/>
    <xf numFmtId="4" fontId="33" fillId="6" borderId="0" xfId="26" applyNumberFormat="1" applyFont="1" applyFill="1"/>
    <xf numFmtId="39" fontId="33" fillId="6" borderId="0" xfId="26" applyFont="1" applyFill="1"/>
    <xf numFmtId="39" fontId="33" fillId="6" borderId="23" xfId="26" applyFont="1" applyFill="1" applyBorder="1"/>
    <xf numFmtId="39" fontId="33" fillId="6" borderId="0" xfId="26" applyFont="1" applyFill="1" applyBorder="1"/>
    <xf numFmtId="0" fontId="5" fillId="6" borderId="0" xfId="23" applyFont="1" applyFill="1" applyBorder="1" applyAlignment="1">
      <alignment horizontal="right"/>
    </xf>
    <xf numFmtId="39" fontId="33" fillId="6" borderId="22" xfId="26" applyFont="1" applyFill="1" applyBorder="1"/>
    <xf numFmtId="169" fontId="5" fillId="6" borderId="19" xfId="24" applyFont="1" applyFill="1" applyBorder="1"/>
    <xf numFmtId="4" fontId="34" fillId="0" borderId="19" xfId="24" applyNumberFormat="1" applyFont="1" applyFill="1" applyBorder="1" applyAlignment="1"/>
    <xf numFmtId="169" fontId="6" fillId="6" borderId="24" xfId="24" applyFont="1" applyFill="1" applyBorder="1" applyAlignment="1">
      <alignment horizontal="center"/>
    </xf>
    <xf numFmtId="169" fontId="20" fillId="6" borderId="24" xfId="24" applyFont="1" applyFill="1" applyBorder="1"/>
    <xf numFmtId="169" fontId="5" fillId="6" borderId="25" xfId="24" applyFont="1" applyFill="1" applyBorder="1"/>
    <xf numFmtId="4" fontId="5" fillId="0" borderId="0" xfId="37" applyNumberFormat="1" applyFont="1"/>
    <xf numFmtId="0" fontId="5" fillId="0" borderId="0" xfId="37" applyFont="1"/>
    <xf numFmtId="39" fontId="33" fillId="0" borderId="0" xfId="26" applyFont="1"/>
    <xf numFmtId="0" fontId="6" fillId="6" borderId="0" xfId="37" applyFont="1" applyFill="1" applyBorder="1" applyAlignment="1">
      <alignment horizontal="left"/>
    </xf>
    <xf numFmtId="169" fontId="5" fillId="6" borderId="0" xfId="38" applyFont="1" applyFill="1"/>
    <xf numFmtId="0" fontId="5" fillId="6" borderId="22" xfId="28" applyFont="1" applyFill="1" applyBorder="1" applyAlignment="1">
      <alignment vertical="center"/>
    </xf>
    <xf numFmtId="0" fontId="5" fillId="0" borderId="14" xfId="37" applyFont="1" applyFill="1" applyBorder="1" applyAlignment="1">
      <alignment horizontal="left"/>
    </xf>
    <xf numFmtId="4" fontId="5" fillId="0" borderId="15" xfId="38" applyNumberFormat="1" applyFont="1" applyFill="1" applyBorder="1"/>
    <xf numFmtId="169" fontId="5" fillId="0" borderId="15" xfId="38" applyFont="1" applyFill="1" applyBorder="1" applyAlignment="1">
      <alignment horizontal="centerContinuous"/>
    </xf>
    <xf numFmtId="0" fontId="6" fillId="6" borderId="17" xfId="28" applyFont="1" applyFill="1" applyBorder="1" applyAlignment="1">
      <alignment vertical="center"/>
    </xf>
    <xf numFmtId="0" fontId="5" fillId="0" borderId="18" xfId="37" applyFont="1" applyFill="1" applyBorder="1" applyAlignment="1">
      <alignment horizontal="left"/>
    </xf>
    <xf numFmtId="4" fontId="5" fillId="0" borderId="1" xfId="38" applyNumberFormat="1" applyFont="1" applyFill="1" applyBorder="1"/>
    <xf numFmtId="169" fontId="5" fillId="0" borderId="1" xfId="38" applyFont="1" applyFill="1" applyBorder="1" applyAlignment="1">
      <alignment horizontal="center"/>
    </xf>
    <xf numFmtId="0" fontId="5" fillId="6" borderId="17" xfId="28" applyFont="1" applyFill="1" applyBorder="1" applyAlignment="1">
      <alignment vertical="center"/>
    </xf>
    <xf numFmtId="4" fontId="5" fillId="0" borderId="1" xfId="38" applyNumberFormat="1" applyFont="1" applyFill="1" applyBorder="1" applyAlignment="1">
      <alignment horizontal="right"/>
    </xf>
    <xf numFmtId="169" fontId="5" fillId="0" borderId="1" xfId="38" applyFont="1" applyFill="1" applyBorder="1" applyAlignment="1">
      <alignment horizontal="centerContinuous"/>
    </xf>
    <xf numFmtId="0" fontId="5" fillId="0" borderId="20" xfId="37" applyFont="1" applyFill="1" applyBorder="1" applyAlignment="1">
      <alignment horizontal="left"/>
    </xf>
    <xf numFmtId="4" fontId="5" fillId="0" borderId="7" xfId="38" applyNumberFormat="1" applyFont="1" applyFill="1" applyBorder="1"/>
    <xf numFmtId="169" fontId="5" fillId="0" borderId="7" xfId="38" applyFont="1" applyFill="1" applyBorder="1" applyAlignment="1">
      <alignment horizontal="centerContinuous"/>
    </xf>
    <xf numFmtId="169" fontId="5" fillId="0" borderId="15" xfId="38" applyFont="1" applyFill="1" applyBorder="1"/>
    <xf numFmtId="169" fontId="5" fillId="0" borderId="15" xfId="38" applyFont="1" applyFill="1" applyBorder="1" applyAlignment="1">
      <alignment horizontal="center"/>
    </xf>
    <xf numFmtId="169" fontId="6" fillId="0" borderId="15" xfId="38" applyFont="1" applyFill="1" applyBorder="1" applyAlignment="1">
      <alignment horizontal="right"/>
    </xf>
    <xf numFmtId="4" fontId="6" fillId="0" borderId="16" xfId="38" applyNumberFormat="1" applyFont="1" applyFill="1" applyBorder="1" applyAlignment="1"/>
    <xf numFmtId="0" fontId="5" fillId="6" borderId="27" xfId="37" applyFont="1" applyFill="1" applyBorder="1" applyAlignment="1">
      <alignment horizontal="left"/>
    </xf>
    <xf numFmtId="169" fontId="5" fillId="6" borderId="44" xfId="38" applyFont="1" applyFill="1" applyBorder="1"/>
    <xf numFmtId="169" fontId="5" fillId="6" borderId="27" xfId="38" applyFont="1" applyFill="1" applyBorder="1" applyAlignment="1">
      <alignment horizontal="center"/>
    </xf>
    <xf numFmtId="169" fontId="6" fillId="6" borderId="24" xfId="38" applyFont="1" applyFill="1" applyBorder="1"/>
    <xf numFmtId="4" fontId="16" fillId="6" borderId="25" xfId="38" applyNumberFormat="1" applyFont="1" applyFill="1" applyBorder="1" applyAlignment="1"/>
    <xf numFmtId="4" fontId="6" fillId="6" borderId="0" xfId="29" applyNumberFormat="1" applyFont="1" applyFill="1" applyBorder="1" applyAlignment="1">
      <alignment horizontal="right" vertical="center"/>
    </xf>
    <xf numFmtId="169" fontId="6" fillId="6" borderId="0" xfId="38" applyFont="1" applyFill="1" applyAlignment="1">
      <alignment horizontal="centerContinuous"/>
    </xf>
    <xf numFmtId="0" fontId="5" fillId="6" borderId="0" xfId="28" applyFont="1" applyFill="1" applyBorder="1" applyAlignment="1" applyProtection="1">
      <alignment horizontal="left" vertical="center"/>
    </xf>
    <xf numFmtId="169" fontId="2" fillId="2" borderId="0" xfId="24" applyFont="1" applyFill="1" applyBorder="1" applyAlignment="1">
      <alignment horizontal="right" vertical="center"/>
    </xf>
    <xf numFmtId="0" fontId="5" fillId="6" borderId="15" xfId="28" applyFont="1" applyFill="1" applyBorder="1" applyAlignment="1" applyProtection="1">
      <alignment horizontal="left" vertical="center"/>
    </xf>
    <xf numFmtId="169" fontId="5" fillId="6" borderId="15" xfId="24" applyFont="1" applyFill="1" applyBorder="1" applyAlignment="1">
      <alignment horizontal="right" vertical="center"/>
    </xf>
    <xf numFmtId="0" fontId="5" fillId="6" borderId="15" xfId="28" applyFont="1" applyFill="1" applyBorder="1" applyAlignment="1">
      <alignment horizontal="center" vertical="center"/>
    </xf>
    <xf numFmtId="0" fontId="5" fillId="6" borderId="1" xfId="28" applyFont="1" applyFill="1" applyBorder="1" applyAlignment="1" applyProtection="1">
      <alignment horizontal="left" vertical="center"/>
    </xf>
    <xf numFmtId="169" fontId="5" fillId="6" borderId="1" xfId="24" applyFont="1" applyFill="1" applyBorder="1" applyAlignment="1">
      <alignment horizontal="right" vertical="center"/>
    </xf>
    <xf numFmtId="0" fontId="5" fillId="6" borderId="1" xfId="28" applyFont="1" applyFill="1" applyBorder="1" applyAlignment="1">
      <alignment horizontal="center" vertical="center"/>
    </xf>
    <xf numFmtId="0" fontId="6" fillId="6" borderId="1" xfId="28" applyFont="1" applyFill="1" applyBorder="1" applyAlignment="1" applyProtection="1">
      <alignment horizontal="left" vertical="center"/>
    </xf>
    <xf numFmtId="169" fontId="5" fillId="6" borderId="19" xfId="24" applyFont="1" applyFill="1" applyBorder="1" applyAlignment="1">
      <alignment horizontal="right" vertical="center"/>
    </xf>
    <xf numFmtId="0" fontId="5" fillId="6" borderId="34" xfId="28" applyFont="1" applyFill="1" applyBorder="1" applyAlignment="1">
      <alignment vertical="top"/>
    </xf>
    <xf numFmtId="0" fontId="5" fillId="6" borderId="7" xfId="28" applyFont="1" applyFill="1" applyBorder="1" applyAlignment="1" applyProtection="1">
      <alignment horizontal="left" vertical="top"/>
    </xf>
    <xf numFmtId="169" fontId="5" fillId="6" borderId="7" xfId="24" applyFont="1" applyFill="1" applyBorder="1" applyAlignment="1">
      <alignment horizontal="right" vertical="top"/>
    </xf>
    <xf numFmtId="0" fontId="5" fillId="6" borderId="7" xfId="28" applyFont="1" applyFill="1" applyBorder="1" applyAlignment="1">
      <alignment horizontal="center" vertical="top"/>
    </xf>
    <xf numFmtId="49" fontId="6" fillId="6" borderId="7" xfId="24" applyNumberFormat="1" applyFont="1" applyFill="1" applyBorder="1" applyAlignment="1">
      <alignment horizontal="right" vertical="top"/>
    </xf>
    <xf numFmtId="4" fontId="16" fillId="6" borderId="21" xfId="24" applyNumberFormat="1" applyFont="1" applyFill="1" applyBorder="1" applyAlignment="1">
      <alignment horizontal="right" vertical="top"/>
    </xf>
    <xf numFmtId="0" fontId="5" fillId="6" borderId="45" xfId="28" applyFont="1" applyFill="1" applyBorder="1" applyAlignment="1">
      <alignment vertical="top"/>
    </xf>
    <xf numFmtId="0" fontId="5" fillId="6" borderId="31" xfId="28" applyFont="1" applyFill="1" applyBorder="1" applyAlignment="1" applyProtection="1">
      <alignment horizontal="left" vertical="top"/>
    </xf>
    <xf numFmtId="169" fontId="5" fillId="6" borderId="31" xfId="24" applyFont="1" applyFill="1" applyBorder="1" applyAlignment="1">
      <alignment horizontal="right" vertical="top"/>
    </xf>
    <xf numFmtId="0" fontId="5" fillId="6" borderId="31" xfId="28" applyFont="1" applyFill="1" applyBorder="1" applyAlignment="1">
      <alignment horizontal="center" vertical="top"/>
    </xf>
    <xf numFmtId="49" fontId="6" fillId="6" borderId="24" xfId="24" applyNumberFormat="1" applyFont="1" applyFill="1" applyBorder="1" applyAlignment="1">
      <alignment horizontal="right" vertical="top"/>
    </xf>
    <xf numFmtId="4" fontId="20" fillId="6" borderId="25" xfId="24" applyNumberFormat="1" applyFont="1" applyFill="1" applyBorder="1" applyAlignment="1">
      <alignment horizontal="right" vertical="top"/>
    </xf>
    <xf numFmtId="0" fontId="6" fillId="5" borderId="1" xfId="28" applyFont="1" applyFill="1" applyBorder="1" applyAlignment="1" applyProtection="1">
      <alignment horizontal="left" vertical="center"/>
    </xf>
    <xf numFmtId="169" fontId="5" fillId="5" borderId="1" xfId="24" applyFont="1" applyFill="1" applyBorder="1" applyAlignment="1">
      <alignment horizontal="right" vertical="center"/>
    </xf>
    <xf numFmtId="0" fontId="5" fillId="5" borderId="1" xfId="28" applyFont="1" applyFill="1" applyBorder="1" applyAlignment="1">
      <alignment horizontal="center" vertical="center"/>
    </xf>
    <xf numFmtId="169" fontId="5" fillId="5" borderId="19" xfId="24" applyFont="1" applyFill="1" applyBorder="1" applyAlignment="1">
      <alignment horizontal="right" vertical="center"/>
    </xf>
    <xf numFmtId="187" fontId="5" fillId="6" borderId="0" xfId="28" applyNumberFormat="1" applyFont="1" applyFill="1" applyBorder="1" applyAlignment="1">
      <alignment vertical="center"/>
    </xf>
    <xf numFmtId="0" fontId="5" fillId="6" borderId="22" xfId="28" applyFont="1" applyFill="1" applyBorder="1" applyAlignment="1">
      <alignment vertical="top"/>
    </xf>
    <xf numFmtId="2" fontId="22" fillId="6" borderId="15" xfId="28" applyNumberFormat="1" applyFont="1" applyFill="1" applyBorder="1" applyAlignment="1" applyProtection="1">
      <alignment horizontal="right" vertical="top"/>
    </xf>
    <xf numFmtId="0" fontId="5" fillId="6" borderId="15" xfId="28" applyFont="1" applyFill="1" applyBorder="1" applyAlignment="1">
      <alignment horizontal="center" vertical="top"/>
    </xf>
    <xf numFmtId="49" fontId="6" fillId="6" borderId="29" xfId="24" applyNumberFormat="1" applyFont="1" applyFill="1" applyBorder="1" applyAlignment="1">
      <alignment horizontal="right" vertical="top"/>
    </xf>
    <xf numFmtId="4" fontId="20" fillId="6" borderId="16" xfId="24" applyNumberFormat="1" applyFont="1" applyFill="1" applyBorder="1" applyAlignment="1">
      <alignment horizontal="right" vertical="top"/>
    </xf>
    <xf numFmtId="2" fontId="22" fillId="6" borderId="24" xfId="28" applyNumberFormat="1" applyFont="1" applyFill="1" applyBorder="1" applyAlignment="1" applyProtection="1">
      <alignment horizontal="right" vertical="center"/>
    </xf>
    <xf numFmtId="49" fontId="6" fillId="6" borderId="1" xfId="24" applyNumberFormat="1" applyFont="1" applyFill="1" applyBorder="1" applyAlignment="1">
      <alignment horizontal="right" vertical="top"/>
    </xf>
    <xf numFmtId="169" fontId="22" fillId="6" borderId="25" xfId="24" applyFont="1" applyFill="1" applyBorder="1" applyAlignment="1">
      <alignment horizontal="right" vertical="center"/>
    </xf>
    <xf numFmtId="0" fontId="5" fillId="6" borderId="1" xfId="28" applyFont="1" applyFill="1" applyBorder="1" applyAlignment="1">
      <alignment vertical="center"/>
    </xf>
    <xf numFmtId="4" fontId="5" fillId="6" borderId="1" xfId="24" applyNumberFormat="1" applyFont="1" applyFill="1" applyBorder="1" applyAlignment="1">
      <alignment horizontal="right" vertical="center"/>
    </xf>
    <xf numFmtId="4" fontId="6" fillId="6" borderId="0" xfId="29" applyNumberFormat="1" applyFont="1" applyFill="1" applyBorder="1" applyAlignment="1" applyProtection="1">
      <alignment horizontal="right" vertical="center"/>
    </xf>
    <xf numFmtId="2" fontId="6" fillId="6" borderId="0" xfId="23" applyNumberFormat="1" applyFont="1" applyFill="1" applyBorder="1"/>
    <xf numFmtId="0" fontId="5" fillId="6" borderId="18" xfId="28" applyFont="1" applyFill="1" applyBorder="1" applyAlignment="1" applyProtection="1">
      <alignment horizontal="left" vertical="center"/>
    </xf>
    <xf numFmtId="187" fontId="5" fillId="6" borderId="0" xfId="28" applyNumberFormat="1" applyFont="1" applyFill="1" applyBorder="1" applyAlignment="1" applyProtection="1">
      <alignment horizontal="right" vertical="center"/>
      <protection locked="0"/>
    </xf>
    <xf numFmtId="169" fontId="6" fillId="6" borderId="25" xfId="24" applyFont="1" applyFill="1" applyBorder="1" applyAlignment="1">
      <alignment horizontal="right" vertical="center"/>
    </xf>
    <xf numFmtId="0" fontId="16" fillId="7" borderId="0" xfId="23" applyFont="1" applyFill="1" applyBorder="1"/>
    <xf numFmtId="49" fontId="5" fillId="6" borderId="0" xfId="26" applyNumberFormat="1" applyFont="1" applyFill="1" applyBorder="1" applyAlignment="1" applyProtection="1">
      <alignment vertical="top" wrapText="1"/>
    </xf>
    <xf numFmtId="0" fontId="5" fillId="6" borderId="0" xfId="23" applyFont="1" applyFill="1" applyBorder="1" applyAlignment="1"/>
    <xf numFmtId="0" fontId="6" fillId="7" borderId="0" xfId="23" applyFont="1" applyFill="1" applyBorder="1" applyAlignment="1"/>
    <xf numFmtId="4" fontId="5" fillId="6" borderId="0" xfId="23" applyNumberFormat="1" applyFont="1" applyFill="1" applyBorder="1" applyAlignment="1"/>
    <xf numFmtId="39" fontId="5" fillId="6" borderId="0" xfId="23" applyNumberFormat="1" applyFont="1" applyFill="1" applyBorder="1" applyAlignment="1"/>
    <xf numFmtId="0" fontId="16" fillId="8" borderId="1" xfId="23" applyFont="1" applyFill="1" applyBorder="1" applyAlignment="1"/>
    <xf numFmtId="0" fontId="6" fillId="6" borderId="0" xfId="23" applyFont="1" applyFill="1" applyBorder="1" applyAlignment="1"/>
    <xf numFmtId="2" fontId="5" fillId="6" borderId="0" xfId="23" applyNumberFormat="1" applyFont="1" applyFill="1" applyBorder="1" applyAlignment="1"/>
    <xf numFmtId="0" fontId="5" fillId="6" borderId="0" xfId="23" applyFont="1" applyFill="1" applyBorder="1" applyAlignment="1">
      <alignment horizontal="center" vertical="center"/>
    </xf>
    <xf numFmtId="169" fontId="5" fillId="6" borderId="0" xfId="38" applyFont="1" applyFill="1" applyBorder="1" applyAlignment="1"/>
    <xf numFmtId="0" fontId="5" fillId="6" borderId="15" xfId="23" applyFont="1" applyFill="1" applyBorder="1" applyAlignment="1"/>
    <xf numFmtId="4" fontId="5" fillId="6" borderId="15" xfId="23" applyNumberFormat="1" applyFont="1" applyFill="1" applyBorder="1" applyAlignment="1"/>
    <xf numFmtId="0" fontId="5" fillId="6" borderId="1" xfId="23" applyFont="1" applyFill="1" applyBorder="1" applyAlignment="1"/>
    <xf numFmtId="4" fontId="5" fillId="6" borderId="1" xfId="23" applyNumberFormat="1" applyFont="1" applyFill="1" applyBorder="1" applyAlignment="1"/>
    <xf numFmtId="0" fontId="5" fillId="6" borderId="24" xfId="23" applyFont="1" applyFill="1" applyBorder="1" applyAlignment="1"/>
    <xf numFmtId="169" fontId="5" fillId="6" borderId="24" xfId="24" applyFont="1" applyFill="1" applyBorder="1" applyAlignment="1"/>
    <xf numFmtId="169" fontId="6" fillId="6" borderId="24" xfId="24" applyFont="1" applyFill="1" applyBorder="1" applyAlignment="1">
      <alignment horizontal="right" vertical="center"/>
    </xf>
    <xf numFmtId="4" fontId="6" fillId="6" borderId="25" xfId="23" applyNumberFormat="1" applyFont="1" applyFill="1" applyBorder="1" applyAlignment="1"/>
    <xf numFmtId="0" fontId="16" fillId="6" borderId="29" xfId="23" applyFont="1" applyFill="1" applyBorder="1" applyAlignment="1"/>
    <xf numFmtId="4" fontId="5" fillId="6" borderId="2" xfId="24" applyNumberFormat="1" applyFont="1" applyFill="1" applyBorder="1" applyAlignment="1">
      <alignment wrapText="1"/>
    </xf>
    <xf numFmtId="0" fontId="5" fillId="6" borderId="29" xfId="23" applyFont="1" applyFill="1" applyBorder="1" applyAlignment="1">
      <alignment horizontal="center"/>
    </xf>
    <xf numFmtId="169" fontId="6" fillId="6" borderId="29" xfId="24" applyFont="1" applyFill="1" applyBorder="1" applyAlignment="1">
      <alignment horizontal="right"/>
    </xf>
    <xf numFmtId="4" fontId="19" fillId="6" borderId="46" xfId="23" applyNumberFormat="1" applyFont="1" applyFill="1" applyBorder="1" applyAlignment="1"/>
    <xf numFmtId="0" fontId="16" fillId="6" borderId="1" xfId="23" applyFont="1" applyFill="1" applyBorder="1" applyAlignment="1"/>
    <xf numFmtId="4" fontId="5" fillId="6" borderId="1" xfId="24" applyNumberFormat="1" applyFont="1" applyFill="1" applyBorder="1" applyAlignment="1">
      <alignment wrapText="1"/>
    </xf>
    <xf numFmtId="4" fontId="19" fillId="6" borderId="19" xfId="23" applyNumberFormat="1" applyFont="1" applyFill="1" applyBorder="1" applyAlignment="1"/>
    <xf numFmtId="169" fontId="19" fillId="6" borderId="19" xfId="24" applyFont="1" applyFill="1" applyBorder="1"/>
    <xf numFmtId="169" fontId="16" fillId="6" borderId="19" xfId="24" applyFont="1" applyFill="1" applyBorder="1"/>
    <xf numFmtId="0" fontId="16" fillId="6" borderId="7" xfId="23" applyFont="1" applyFill="1" applyBorder="1"/>
    <xf numFmtId="4" fontId="5" fillId="6" borderId="7" xfId="23" applyNumberFormat="1" applyFont="1" applyFill="1" applyBorder="1" applyAlignment="1">
      <alignment vertical="top" wrapText="1"/>
    </xf>
    <xf numFmtId="0" fontId="5" fillId="6" borderId="7" xfId="23" applyFont="1" applyFill="1" applyBorder="1" applyAlignment="1">
      <alignment horizontal="center" vertical="top"/>
    </xf>
    <xf numFmtId="169" fontId="16" fillId="6" borderId="21" xfId="24" applyFont="1" applyFill="1" applyBorder="1"/>
    <xf numFmtId="0" fontId="16" fillId="6" borderId="24" xfId="23" applyFont="1" applyFill="1" applyBorder="1"/>
    <xf numFmtId="169" fontId="16" fillId="6" borderId="25" xfId="24" applyFont="1" applyFill="1" applyBorder="1"/>
    <xf numFmtId="4" fontId="12" fillId="6" borderId="15" xfId="23" applyNumberFormat="1" applyFont="1" applyFill="1" applyBorder="1" applyAlignment="1"/>
    <xf numFmtId="0" fontId="16" fillId="6" borderId="15" xfId="23" applyFont="1" applyFill="1" applyBorder="1" applyAlignment="1"/>
    <xf numFmtId="4" fontId="5" fillId="6" borderId="15" xfId="24" applyNumberFormat="1" applyFont="1" applyFill="1" applyBorder="1" applyAlignment="1"/>
    <xf numFmtId="4" fontId="16" fillId="6" borderId="16" xfId="24" applyNumberFormat="1" applyFont="1" applyFill="1" applyBorder="1" applyAlignment="1"/>
    <xf numFmtId="4" fontId="6" fillId="6" borderId="1" xfId="24" applyNumberFormat="1" applyFont="1" applyFill="1" applyBorder="1"/>
    <xf numFmtId="4" fontId="16" fillId="6" borderId="19" xfId="24" applyNumberFormat="1" applyFont="1" applyFill="1" applyBorder="1" applyAlignment="1"/>
    <xf numFmtId="10" fontId="5" fillId="6" borderId="0" xfId="23" applyNumberFormat="1" applyFont="1" applyFill="1" applyBorder="1"/>
    <xf numFmtId="0" fontId="16" fillId="6" borderId="24" xfId="23" applyFont="1" applyFill="1" applyBorder="1" applyAlignment="1"/>
    <xf numFmtId="4" fontId="5" fillId="6" borderId="24" xfId="24" applyNumberFormat="1" applyFont="1" applyFill="1" applyBorder="1" applyAlignment="1"/>
    <xf numFmtId="4" fontId="6" fillId="6" borderId="24" xfId="24" applyNumberFormat="1" applyFont="1" applyFill="1" applyBorder="1"/>
    <xf numFmtId="4" fontId="16" fillId="6" borderId="25" xfId="24" applyNumberFormat="1" applyFont="1" applyFill="1" applyBorder="1" applyAlignment="1"/>
    <xf numFmtId="0" fontId="16" fillId="6" borderId="31" xfId="23" applyFont="1" applyFill="1" applyBorder="1" applyAlignment="1"/>
    <xf numFmtId="169" fontId="5" fillId="6" borderId="31" xfId="24" applyFont="1" applyFill="1" applyBorder="1" applyAlignment="1"/>
    <xf numFmtId="0" fontId="20" fillId="6" borderId="31" xfId="23" applyFont="1" applyFill="1" applyBorder="1" applyAlignment="1"/>
    <xf numFmtId="169" fontId="12" fillId="6" borderId="31" xfId="24" applyFont="1" applyFill="1" applyBorder="1" applyAlignment="1"/>
    <xf numFmtId="169" fontId="20" fillId="6" borderId="32" xfId="24" applyFont="1" applyFill="1" applyBorder="1" applyAlignment="1"/>
    <xf numFmtId="169" fontId="5" fillId="6" borderId="0" xfId="24" applyFont="1" applyFill="1" applyBorder="1" applyAlignment="1"/>
    <xf numFmtId="0" fontId="5" fillId="6" borderId="29" xfId="23" applyFont="1" applyFill="1" applyBorder="1" applyAlignment="1"/>
    <xf numFmtId="0" fontId="5" fillId="6" borderId="33" xfId="23" applyFont="1" applyFill="1" applyBorder="1"/>
    <xf numFmtId="4" fontId="5" fillId="6" borderId="5" xfId="23" applyNumberFormat="1" applyFont="1" applyFill="1" applyBorder="1" applyAlignment="1"/>
    <xf numFmtId="4" fontId="5" fillId="6" borderId="7" xfId="24" applyNumberFormat="1" applyFont="1" applyFill="1" applyBorder="1" applyAlignment="1"/>
    <xf numFmtId="4" fontId="5" fillId="6" borderId="21" xfId="24" applyNumberFormat="1" applyFont="1" applyFill="1" applyBorder="1" applyAlignment="1" applyProtection="1">
      <alignment horizontal="right" vertical="center"/>
      <protection locked="0"/>
    </xf>
    <xf numFmtId="0" fontId="16" fillId="6" borderId="29" xfId="23" applyFont="1" applyFill="1" applyBorder="1"/>
    <xf numFmtId="169" fontId="16" fillId="6" borderId="16" xfId="24" applyFont="1" applyFill="1" applyBorder="1"/>
    <xf numFmtId="169" fontId="19" fillId="6" borderId="1" xfId="24" applyFont="1" applyFill="1" applyBorder="1"/>
    <xf numFmtId="169" fontId="6" fillId="6" borderId="5" xfId="24" applyFont="1" applyFill="1" applyBorder="1" applyAlignment="1">
      <alignment horizontal="right"/>
    </xf>
    <xf numFmtId="169" fontId="20" fillId="6" borderId="47" xfId="24" applyFont="1" applyFill="1" applyBorder="1"/>
    <xf numFmtId="4" fontId="6" fillId="6" borderId="7" xfId="24" applyNumberFormat="1" applyFont="1" applyFill="1" applyBorder="1"/>
    <xf numFmtId="169" fontId="19" fillId="6" borderId="24" xfId="24" applyFont="1" applyFill="1" applyBorder="1"/>
    <xf numFmtId="169" fontId="20" fillId="6" borderId="25" xfId="24" applyFont="1" applyFill="1" applyBorder="1"/>
    <xf numFmtId="0" fontId="16" fillId="6" borderId="31" xfId="23" applyFont="1" applyFill="1" applyBorder="1"/>
    <xf numFmtId="169" fontId="19" fillId="6" borderId="31" xfId="24" applyFont="1" applyFill="1" applyBorder="1"/>
    <xf numFmtId="169" fontId="20" fillId="6" borderId="31" xfId="24" applyFont="1" applyFill="1" applyBorder="1" applyAlignment="1">
      <alignment horizontal="center" vertical="top"/>
    </xf>
    <xf numFmtId="169" fontId="20" fillId="6" borderId="32" xfId="24" applyFont="1" applyFill="1" applyBorder="1"/>
    <xf numFmtId="169" fontId="16" fillId="6" borderId="32" xfId="24" applyFont="1" applyFill="1" applyBorder="1"/>
    <xf numFmtId="0" fontId="2" fillId="0" borderId="0" xfId="39" applyFont="1" applyFill="1" applyBorder="1"/>
    <xf numFmtId="43" fontId="4" fillId="0" borderId="0" xfId="40" applyFont="1" applyFill="1" applyBorder="1"/>
    <xf numFmtId="43" fontId="4" fillId="0" borderId="0" xfId="40" applyFont="1" applyFill="1" applyBorder="1" applyAlignment="1">
      <alignment horizontal="center"/>
    </xf>
    <xf numFmtId="0" fontId="4" fillId="0" borderId="15" xfId="39" applyFont="1" applyFill="1" applyBorder="1"/>
    <xf numFmtId="43" fontId="2" fillId="0" borderId="15" xfId="40" applyFont="1" applyFill="1" applyBorder="1" applyAlignment="1">
      <alignment horizontal="center"/>
    </xf>
    <xf numFmtId="43" fontId="2" fillId="0" borderId="16" xfId="40" applyFont="1" applyFill="1" applyBorder="1" applyAlignment="1">
      <alignment horizontal="center"/>
    </xf>
    <xf numFmtId="0" fontId="4" fillId="0" borderId="1" xfId="4" applyFont="1" applyFill="1" applyBorder="1"/>
    <xf numFmtId="2" fontId="4" fillId="0" borderId="1" xfId="4" applyNumberFormat="1" applyFont="1" applyFill="1" applyBorder="1"/>
    <xf numFmtId="0" fontId="4" fillId="0" borderId="1" xfId="4" applyFont="1" applyFill="1" applyBorder="1" applyAlignment="1">
      <alignment horizontal="center"/>
    </xf>
    <xf numFmtId="39" fontId="4" fillId="0" borderId="1" xfId="4" applyNumberFormat="1" applyFont="1" applyFill="1" applyBorder="1"/>
    <xf numFmtId="4" fontId="4" fillId="0" borderId="19" xfId="4" applyNumberFormat="1" applyFont="1" applyFill="1" applyBorder="1"/>
    <xf numFmtId="0" fontId="4" fillId="0" borderId="1" xfId="39" applyFont="1" applyFill="1" applyBorder="1"/>
    <xf numFmtId="43" fontId="4" fillId="0" borderId="1" xfId="40" applyFont="1" applyFill="1" applyBorder="1" applyAlignment="1">
      <alignment horizontal="right"/>
    </xf>
    <xf numFmtId="43" fontId="4" fillId="0" borderId="1" xfId="40" applyFont="1" applyFill="1" applyBorder="1" applyAlignment="1">
      <alignment horizontal="center"/>
    </xf>
    <xf numFmtId="43" fontId="4" fillId="0" borderId="19" xfId="40" applyFont="1" applyFill="1" applyBorder="1" applyAlignment="1">
      <alignment horizontal="right"/>
    </xf>
    <xf numFmtId="169" fontId="4" fillId="0" borderId="1" xfId="25" applyNumberFormat="1" applyFont="1" applyFill="1" applyBorder="1"/>
    <xf numFmtId="0" fontId="4" fillId="0" borderId="1" xfId="41" applyFont="1" applyFill="1" applyBorder="1" applyProtection="1"/>
    <xf numFmtId="191" fontId="4" fillId="0" borderId="1" xfId="41" applyNumberFormat="1" applyFont="1" applyFill="1" applyBorder="1" applyProtection="1"/>
    <xf numFmtId="0" fontId="4" fillId="0" borderId="1" xfId="41" applyFont="1" applyFill="1" applyBorder="1" applyAlignment="1" applyProtection="1">
      <alignment horizontal="center"/>
    </xf>
    <xf numFmtId="164" fontId="2" fillId="0" borderId="1" xfId="4" applyNumberFormat="1" applyFont="1" applyFill="1" applyBorder="1" applyAlignment="1">
      <alignment horizontal="right"/>
    </xf>
    <xf numFmtId="43" fontId="2" fillId="0" borderId="19" xfId="40" applyFont="1" applyFill="1" applyBorder="1" applyAlignment="1"/>
    <xf numFmtId="0" fontId="4" fillId="0" borderId="1" xfId="42" applyFont="1" applyFill="1" applyBorder="1" applyAlignment="1">
      <alignment horizontal="right"/>
    </xf>
    <xf numFmtId="2" fontId="4" fillId="0" borderId="1" xfId="4" applyNumberFormat="1" applyFont="1" applyFill="1" applyBorder="1" applyAlignment="1">
      <alignment horizontal="center" vertical="top"/>
    </xf>
    <xf numFmtId="0" fontId="4" fillId="0" borderId="1" xfId="39" applyFont="1" applyFill="1" applyBorder="1" applyAlignment="1" applyProtection="1">
      <alignment horizontal="center"/>
    </xf>
    <xf numFmtId="0" fontId="2" fillId="0" borderId="1" xfId="4" applyFont="1" applyFill="1" applyBorder="1" applyAlignment="1">
      <alignment horizontal="right"/>
    </xf>
    <xf numFmtId="164" fontId="2" fillId="0" borderId="19" xfId="4" applyNumberFormat="1" applyFont="1" applyFill="1" applyBorder="1"/>
    <xf numFmtId="0" fontId="2" fillId="0" borderId="24" xfId="4" applyFont="1" applyFill="1" applyBorder="1" applyAlignment="1"/>
    <xf numFmtId="0" fontId="4" fillId="0" borderId="24" xfId="4" applyFont="1" applyFill="1" applyBorder="1"/>
    <xf numFmtId="43" fontId="19" fillId="0" borderId="24" xfId="40" applyFont="1" applyFill="1" applyBorder="1" applyAlignment="1">
      <alignment horizontal="right"/>
    </xf>
    <xf numFmtId="164" fontId="19" fillId="0" borderId="25" xfId="4" applyNumberFormat="1" applyFont="1" applyFill="1" applyBorder="1" applyAlignment="1">
      <alignment horizontal="right"/>
    </xf>
    <xf numFmtId="0" fontId="5" fillId="2" borderId="12" xfId="23" applyFont="1" applyFill="1" applyBorder="1"/>
    <xf numFmtId="0" fontId="4" fillId="2" borderId="12" xfId="4" applyFont="1" applyFill="1" applyBorder="1"/>
    <xf numFmtId="164" fontId="4" fillId="2" borderId="12" xfId="4" applyNumberFormat="1" applyFont="1" applyFill="1" applyBorder="1"/>
    <xf numFmtId="0" fontId="19" fillId="2" borderId="12" xfId="4" applyFont="1" applyFill="1" applyBorder="1" applyAlignment="1">
      <alignment horizontal="right"/>
    </xf>
    <xf numFmtId="164" fontId="2" fillId="2" borderId="12" xfId="4" applyNumberFormat="1" applyFont="1" applyFill="1" applyBorder="1" applyAlignment="1">
      <alignment horizontal="right"/>
    </xf>
    <xf numFmtId="169" fontId="5" fillId="6" borderId="0" xfId="23" applyNumberFormat="1" applyFont="1" applyFill="1" applyBorder="1"/>
    <xf numFmtId="169" fontId="5" fillId="6" borderId="0" xfId="24" applyFont="1" applyFill="1" applyAlignment="1">
      <alignment horizontal="right"/>
    </xf>
    <xf numFmtId="182" fontId="5" fillId="2" borderId="0" xfId="24" applyNumberFormat="1" applyFont="1" applyFill="1"/>
    <xf numFmtId="0" fontId="16" fillId="6" borderId="15" xfId="23" applyFont="1" applyFill="1" applyBorder="1"/>
    <xf numFmtId="4" fontId="5" fillId="6" borderId="24" xfId="24" applyNumberFormat="1" applyFont="1" applyFill="1" applyBorder="1"/>
    <xf numFmtId="3" fontId="5" fillId="6" borderId="0" xfId="23" applyNumberFormat="1" applyFont="1" applyFill="1" applyBorder="1"/>
    <xf numFmtId="4" fontId="16" fillId="6" borderId="16" xfId="24" applyNumberFormat="1" applyFont="1" applyFill="1" applyBorder="1"/>
    <xf numFmtId="4" fontId="16" fillId="6" borderId="19" xfId="24" applyNumberFormat="1" applyFont="1" applyFill="1" applyBorder="1"/>
    <xf numFmtId="0" fontId="5" fillId="6" borderId="7" xfId="23" applyFont="1" applyFill="1" applyBorder="1" applyAlignment="1"/>
    <xf numFmtId="169" fontId="5" fillId="6" borderId="7" xfId="24" applyFont="1" applyFill="1" applyBorder="1" applyAlignment="1"/>
    <xf numFmtId="169" fontId="6" fillId="6" borderId="7" xfId="24" applyFont="1" applyFill="1" applyBorder="1" applyAlignment="1">
      <alignment horizontal="right" vertical="center"/>
    </xf>
    <xf numFmtId="4" fontId="6" fillId="6" borderId="21" xfId="23" applyNumberFormat="1" applyFont="1" applyFill="1" applyBorder="1" applyAlignment="1"/>
    <xf numFmtId="169" fontId="19" fillId="6" borderId="16" xfId="24" applyFont="1" applyFill="1" applyBorder="1"/>
    <xf numFmtId="169" fontId="19" fillId="6" borderId="25" xfId="24" applyFont="1" applyFill="1" applyBorder="1"/>
    <xf numFmtId="0" fontId="16" fillId="6" borderId="12" xfId="23" applyFont="1" applyFill="1" applyBorder="1"/>
    <xf numFmtId="0" fontId="5" fillId="6" borderId="12" xfId="23" applyFont="1" applyFill="1" applyBorder="1" applyAlignment="1">
      <alignment horizontal="center"/>
    </xf>
    <xf numFmtId="4" fontId="16" fillId="6" borderId="21" xfId="24" applyNumberFormat="1" applyFont="1" applyFill="1" applyBorder="1"/>
    <xf numFmtId="4" fontId="5" fillId="6" borderId="12" xfId="24" applyNumberFormat="1" applyFont="1" applyFill="1" applyBorder="1"/>
    <xf numFmtId="4" fontId="6" fillId="6" borderId="12" xfId="24" applyNumberFormat="1" applyFont="1" applyFill="1" applyBorder="1"/>
    <xf numFmtId="4" fontId="16" fillId="6" borderId="12" xfId="24" applyNumberFormat="1" applyFont="1" applyFill="1" applyBorder="1"/>
    <xf numFmtId="4" fontId="6" fillId="6" borderId="31" xfId="24" applyNumberFormat="1" applyFont="1" applyFill="1" applyBorder="1" applyAlignment="1">
      <alignment horizontal="right"/>
    </xf>
    <xf numFmtId="4" fontId="16" fillId="6" borderId="25" xfId="24" applyNumberFormat="1" applyFont="1" applyFill="1" applyBorder="1"/>
    <xf numFmtId="0" fontId="5" fillId="6" borderId="10" xfId="23" applyFont="1" applyFill="1" applyBorder="1"/>
    <xf numFmtId="169" fontId="5" fillId="8" borderId="10" xfId="24" applyFont="1" applyFill="1" applyBorder="1"/>
    <xf numFmtId="0" fontId="5" fillId="6" borderId="10" xfId="23" applyFont="1" applyFill="1" applyBorder="1" applyAlignment="1">
      <alignment horizontal="center"/>
    </xf>
    <xf numFmtId="169" fontId="5" fillId="6" borderId="10" xfId="24" applyFont="1" applyFill="1" applyBorder="1"/>
    <xf numFmtId="2" fontId="5" fillId="6" borderId="10" xfId="23" applyNumberFormat="1" applyFont="1" applyFill="1" applyBorder="1"/>
    <xf numFmtId="169" fontId="5" fillId="2" borderId="10" xfId="24" applyFont="1" applyFill="1" applyBorder="1"/>
    <xf numFmtId="4" fontId="5" fillId="6" borderId="10" xfId="24" applyNumberFormat="1" applyFont="1" applyFill="1" applyBorder="1" applyAlignment="1" applyProtection="1">
      <alignment horizontal="right" vertical="center"/>
      <protection locked="0"/>
    </xf>
    <xf numFmtId="4" fontId="6" fillId="6" borderId="31" xfId="24" applyNumberFormat="1" applyFont="1" applyFill="1" applyBorder="1"/>
    <xf numFmtId="4" fontId="16" fillId="6" borderId="32" xfId="24" applyNumberFormat="1" applyFont="1" applyFill="1" applyBorder="1"/>
    <xf numFmtId="4" fontId="19" fillId="6" borderId="32" xfId="24" applyNumberFormat="1" applyFont="1" applyFill="1" applyBorder="1"/>
    <xf numFmtId="0" fontId="5" fillId="6" borderId="31" xfId="23" applyFont="1" applyFill="1" applyBorder="1" applyAlignment="1"/>
    <xf numFmtId="4" fontId="16" fillId="6" borderId="32" xfId="24" applyNumberFormat="1" applyFont="1" applyFill="1" applyBorder="1" applyAlignment="1">
      <alignment vertical="top"/>
    </xf>
    <xf numFmtId="169" fontId="20" fillId="6" borderId="15" xfId="24" applyFont="1" applyFill="1" applyBorder="1"/>
    <xf numFmtId="169" fontId="20" fillId="6" borderId="16" xfId="24" applyFont="1" applyFill="1" applyBorder="1"/>
    <xf numFmtId="169" fontId="20" fillId="6" borderId="31" xfId="24" applyFont="1" applyFill="1" applyBorder="1"/>
    <xf numFmtId="0" fontId="2" fillId="6" borderId="15" xfId="23" applyFont="1" applyFill="1" applyBorder="1" applyAlignment="1">
      <alignment vertical="top"/>
    </xf>
    <xf numFmtId="0" fontId="4" fillId="6" borderId="15" xfId="23" applyFont="1" applyFill="1" applyBorder="1" applyAlignment="1">
      <alignment vertical="top"/>
    </xf>
    <xf numFmtId="0" fontId="4" fillId="6" borderId="15" xfId="23" applyFont="1" applyFill="1" applyBorder="1" applyAlignment="1">
      <alignment horizontal="right" vertical="top"/>
    </xf>
    <xf numFmtId="39" fontId="4" fillId="6" borderId="16" xfId="23" applyNumberFormat="1" applyFont="1" applyFill="1" applyBorder="1" applyAlignment="1">
      <alignment horizontal="right" vertical="top"/>
    </xf>
    <xf numFmtId="0" fontId="4" fillId="6" borderId="1" xfId="23" applyFont="1" applyFill="1" applyBorder="1" applyAlignment="1">
      <alignment vertical="top" wrapText="1"/>
    </xf>
    <xf numFmtId="2" fontId="4" fillId="6" borderId="1" xfId="23" applyNumberFormat="1" applyFont="1" applyFill="1" applyBorder="1" applyAlignment="1">
      <alignment vertical="top"/>
    </xf>
    <xf numFmtId="0" fontId="4" fillId="6" borderId="1" xfId="23" applyFont="1" applyFill="1" applyBorder="1" applyAlignment="1">
      <alignment horizontal="centerContinuous" vertical="top"/>
    </xf>
    <xf numFmtId="39" fontId="4" fillId="6" borderId="1" xfId="23" applyNumberFormat="1" applyFont="1" applyFill="1" applyBorder="1" applyAlignment="1">
      <alignment vertical="top"/>
    </xf>
    <xf numFmtId="39" fontId="4" fillId="6" borderId="19" xfId="23" applyNumberFormat="1" applyFont="1" applyFill="1" applyBorder="1" applyAlignment="1">
      <alignment vertical="top"/>
    </xf>
    <xf numFmtId="0" fontId="4" fillId="6" borderId="1" xfId="23" applyFont="1" applyFill="1" applyBorder="1" applyAlignment="1">
      <alignment vertical="top"/>
    </xf>
    <xf numFmtId="0" fontId="4" fillId="6" borderId="1" xfId="23" applyFont="1" applyFill="1" applyBorder="1" applyAlignment="1">
      <alignment horizontal="center" vertical="top"/>
    </xf>
    <xf numFmtId="0" fontId="2" fillId="6" borderId="1" xfId="23" applyFont="1" applyFill="1" applyBorder="1" applyAlignment="1">
      <alignment vertical="top"/>
    </xf>
    <xf numFmtId="0" fontId="4" fillId="6" borderId="1" xfId="23" applyFont="1" applyFill="1" applyBorder="1" applyAlignment="1">
      <alignment horizontal="right" vertical="top"/>
    </xf>
    <xf numFmtId="39" fontId="2" fillId="6" borderId="19" xfId="23" applyNumberFormat="1" applyFont="1" applyFill="1" applyBorder="1" applyAlignment="1">
      <alignment horizontal="right" vertical="top"/>
    </xf>
    <xf numFmtId="4" fontId="4" fillId="6" borderId="1" xfId="23" applyNumberFormat="1" applyFont="1" applyFill="1" applyBorder="1" applyAlignment="1">
      <alignment horizontal="right" vertical="top"/>
    </xf>
    <xf numFmtId="0" fontId="4" fillId="6" borderId="1" xfId="23" applyFont="1" applyFill="1" applyBorder="1" applyAlignment="1">
      <alignment horizontal="left" vertical="top"/>
    </xf>
    <xf numFmtId="2" fontId="2" fillId="6" borderId="1" xfId="23" applyNumberFormat="1" applyFont="1" applyFill="1" applyBorder="1" applyAlignment="1">
      <alignment vertical="top"/>
    </xf>
    <xf numFmtId="0" fontId="4" fillId="6" borderId="1" xfId="23" applyFont="1" applyFill="1" applyBorder="1" applyAlignment="1">
      <alignment horizontal="center" vertical="center"/>
    </xf>
    <xf numFmtId="0" fontId="5" fillId="6" borderId="34" xfId="23" applyFont="1" applyFill="1" applyBorder="1" applyAlignment="1">
      <alignment vertical="top"/>
    </xf>
    <xf numFmtId="0" fontId="4" fillId="6" borderId="7" xfId="23" applyFont="1" applyFill="1" applyBorder="1" applyAlignment="1">
      <alignment horizontal="right" vertical="top"/>
    </xf>
    <xf numFmtId="2" fontId="4" fillId="6" borderId="7" xfId="23" applyNumberFormat="1" applyFont="1" applyFill="1" applyBorder="1" applyAlignment="1">
      <alignment vertical="top"/>
    </xf>
    <xf numFmtId="0" fontId="4" fillId="6" borderId="7" xfId="23" applyFont="1" applyFill="1" applyBorder="1" applyAlignment="1">
      <alignment vertical="top"/>
    </xf>
    <xf numFmtId="39" fontId="2" fillId="6" borderId="21" xfId="23" applyNumberFormat="1" applyFont="1" applyFill="1" applyBorder="1" applyAlignment="1">
      <alignment vertical="top"/>
    </xf>
    <xf numFmtId="0" fontId="5" fillId="4" borderId="22" xfId="23" applyFont="1" applyFill="1" applyBorder="1" applyAlignment="1">
      <alignment vertical="top"/>
    </xf>
    <xf numFmtId="0" fontId="2" fillId="4" borderId="15" xfId="23" applyFont="1" applyFill="1" applyBorder="1" applyAlignment="1">
      <alignment horizontal="left" vertical="top"/>
    </xf>
    <xf numFmtId="2" fontId="2" fillId="4" borderId="15" xfId="23" applyNumberFormat="1" applyFont="1" applyFill="1" applyBorder="1" applyAlignment="1">
      <alignment vertical="top"/>
    </xf>
    <xf numFmtId="0" fontId="4" fillId="4" borderId="15" xfId="23" applyFont="1" applyFill="1" applyBorder="1" applyAlignment="1">
      <alignment horizontal="center" vertical="center"/>
    </xf>
    <xf numFmtId="169" fontId="6" fillId="4" borderId="31" xfId="24" applyFont="1" applyFill="1" applyBorder="1" applyAlignment="1">
      <alignment horizontal="right" vertical="center"/>
    </xf>
    <xf numFmtId="0" fontId="2" fillId="6" borderId="24" xfId="23" applyFont="1" applyFill="1" applyBorder="1" applyAlignment="1">
      <alignment horizontal="left" vertical="top"/>
    </xf>
    <xf numFmtId="2" fontId="2" fillId="6" borderId="24" xfId="23" applyNumberFormat="1" applyFont="1" applyFill="1" applyBorder="1" applyAlignment="1">
      <alignment vertical="top"/>
    </xf>
    <xf numFmtId="0" fontId="4" fillId="6" borderId="24" xfId="23" applyFont="1" applyFill="1" applyBorder="1" applyAlignment="1">
      <alignment horizontal="center" vertical="center"/>
    </xf>
    <xf numFmtId="39" fontId="20" fillId="6" borderId="25" xfId="23" applyNumberFormat="1" applyFont="1" applyFill="1" applyBorder="1" applyAlignment="1">
      <alignment vertical="top"/>
    </xf>
    <xf numFmtId="0" fontId="5" fillId="6" borderId="12" xfId="23" applyFont="1" applyFill="1" applyBorder="1" applyAlignment="1">
      <alignment vertical="top"/>
    </xf>
    <xf numFmtId="0" fontId="2" fillId="6" borderId="12" xfId="23" applyFont="1" applyFill="1" applyBorder="1" applyAlignment="1">
      <alignment horizontal="left" vertical="top"/>
    </xf>
    <xf numFmtId="39" fontId="2" fillId="6" borderId="12" xfId="23" applyNumberFormat="1" applyFont="1" applyFill="1" applyBorder="1" applyAlignment="1">
      <alignment vertical="top"/>
    </xf>
    <xf numFmtId="0" fontId="2" fillId="6" borderId="12" xfId="23" applyFont="1" applyFill="1" applyBorder="1" applyAlignment="1">
      <alignment vertical="top"/>
    </xf>
    <xf numFmtId="0" fontId="2" fillId="6" borderId="12" xfId="23" applyFont="1" applyFill="1" applyBorder="1" applyAlignment="1">
      <alignment horizontal="right" vertical="top"/>
    </xf>
    <xf numFmtId="164" fontId="2" fillId="6" borderId="12" xfId="4" applyNumberFormat="1" applyFont="1" applyFill="1" applyBorder="1" applyAlignment="1">
      <alignment horizontal="right" vertical="top"/>
    </xf>
    <xf numFmtId="169" fontId="5" fillId="6" borderId="0" xfId="24" applyFont="1" applyFill="1" applyAlignment="1">
      <alignment vertical="top"/>
    </xf>
    <xf numFmtId="0" fontId="5" fillId="6" borderId="0" xfId="23" applyFont="1" applyFill="1" applyAlignment="1">
      <alignment horizontal="center" vertical="top"/>
    </xf>
    <xf numFmtId="0" fontId="6" fillId="4" borderId="15" xfId="23" applyFont="1" applyFill="1" applyBorder="1" applyAlignment="1">
      <alignment vertical="top"/>
    </xf>
    <xf numFmtId="169" fontId="5" fillId="4" borderId="15" xfId="24" applyFont="1" applyFill="1" applyBorder="1" applyAlignment="1">
      <alignment vertical="top"/>
    </xf>
    <xf numFmtId="0" fontId="5" fillId="4" borderId="15" xfId="23" applyFont="1" applyFill="1" applyBorder="1" applyAlignment="1">
      <alignment horizontal="center" vertical="top"/>
    </xf>
    <xf numFmtId="169" fontId="5" fillId="4" borderId="16" xfId="24" applyFont="1" applyFill="1" applyBorder="1" applyAlignment="1">
      <alignment vertical="top"/>
    </xf>
    <xf numFmtId="0" fontId="4" fillId="2" borderId="1" xfId="4" applyFont="1" applyFill="1" applyBorder="1" applyAlignment="1">
      <alignment vertical="top"/>
    </xf>
    <xf numFmtId="169" fontId="6" fillId="6" borderId="19" xfId="24" applyFont="1" applyFill="1" applyBorder="1" applyAlignment="1">
      <alignment vertical="top"/>
    </xf>
    <xf numFmtId="0" fontId="6" fillId="4" borderId="1" xfId="23" applyFont="1" applyFill="1" applyBorder="1" applyAlignment="1">
      <alignment vertical="top"/>
    </xf>
    <xf numFmtId="169" fontId="5" fillId="4" borderId="1" xfId="24" applyFont="1" applyFill="1" applyBorder="1" applyAlignment="1">
      <alignment vertical="top"/>
    </xf>
    <xf numFmtId="0" fontId="5" fillId="4" borderId="1" xfId="23" applyFont="1" applyFill="1" applyBorder="1" applyAlignment="1">
      <alignment horizontal="center" vertical="top"/>
    </xf>
    <xf numFmtId="169" fontId="5" fillId="4" borderId="19" xfId="24" applyFont="1" applyFill="1" applyBorder="1" applyAlignment="1">
      <alignment vertical="top"/>
    </xf>
    <xf numFmtId="0" fontId="5" fillId="4" borderId="1" xfId="23" applyFont="1" applyFill="1" applyBorder="1" applyAlignment="1">
      <alignment vertical="top"/>
    </xf>
    <xf numFmtId="169" fontId="22" fillId="6" borderId="19" xfId="24" applyFont="1" applyFill="1" applyBorder="1" applyAlignment="1">
      <alignment vertical="top"/>
    </xf>
    <xf numFmtId="0" fontId="6" fillId="6" borderId="24" xfId="23" applyFont="1" applyFill="1" applyBorder="1" applyAlignment="1">
      <alignment horizontal="right" vertical="top"/>
    </xf>
    <xf numFmtId="169" fontId="20" fillId="6" borderId="25" xfId="24" applyFont="1" applyFill="1" applyBorder="1" applyAlignment="1">
      <alignment vertical="top"/>
    </xf>
    <xf numFmtId="182" fontId="5" fillId="6" borderId="0" xfId="23" applyNumberFormat="1" applyFont="1" applyFill="1" applyBorder="1"/>
    <xf numFmtId="0" fontId="5" fillId="4" borderId="30" xfId="23" applyFont="1" applyFill="1" applyBorder="1" applyAlignment="1">
      <alignment vertical="top"/>
    </xf>
    <xf numFmtId="0" fontId="22" fillId="4" borderId="31" xfId="23" applyFont="1" applyFill="1" applyBorder="1" applyAlignment="1">
      <alignment horizontal="right" vertical="top"/>
    </xf>
    <xf numFmtId="169" fontId="5" fillId="4" borderId="31" xfId="24" applyFont="1" applyFill="1" applyBorder="1" applyAlignment="1">
      <alignment vertical="top"/>
    </xf>
    <xf numFmtId="0" fontId="5" fillId="4" borderId="31" xfId="23" applyFont="1" applyFill="1" applyBorder="1" applyAlignment="1">
      <alignment horizontal="center" vertical="top"/>
    </xf>
    <xf numFmtId="169" fontId="22" fillId="4" borderId="31" xfId="24" applyFont="1" applyFill="1" applyBorder="1" applyAlignment="1">
      <alignment horizontal="right" vertical="top"/>
    </xf>
    <xf numFmtId="169" fontId="22" fillId="4" borderId="32" xfId="24" applyFont="1" applyFill="1" applyBorder="1" applyAlignment="1">
      <alignment vertical="top"/>
    </xf>
    <xf numFmtId="0" fontId="5" fillId="6" borderId="30" xfId="23" applyFont="1" applyFill="1" applyBorder="1" applyAlignment="1">
      <alignment vertical="top"/>
    </xf>
    <xf numFmtId="0" fontId="22" fillId="6" borderId="31" xfId="23" applyFont="1" applyFill="1" applyBorder="1" applyAlignment="1">
      <alignment horizontal="right" vertical="top"/>
    </xf>
    <xf numFmtId="169" fontId="5" fillId="6" borderId="31" xfId="24" applyFont="1" applyFill="1" applyBorder="1" applyAlignment="1">
      <alignment vertical="top"/>
    </xf>
    <xf numFmtId="0" fontId="5" fillId="6" borderId="31" xfId="23" applyFont="1" applyFill="1" applyBorder="1" applyAlignment="1">
      <alignment horizontal="center" vertical="top"/>
    </xf>
    <xf numFmtId="169" fontId="22" fillId="6" borderId="31" xfId="24" applyFont="1" applyFill="1" applyBorder="1" applyAlignment="1">
      <alignment horizontal="right" vertical="top"/>
    </xf>
    <xf numFmtId="0" fontId="4" fillId="0" borderId="5" xfId="39" applyFont="1" applyFill="1" applyBorder="1"/>
    <xf numFmtId="4" fontId="5" fillId="6" borderId="47" xfId="24" applyNumberFormat="1" applyFont="1" applyFill="1" applyBorder="1" applyAlignment="1" applyProtection="1">
      <alignment horizontal="right" vertical="center"/>
      <protection locked="0"/>
    </xf>
    <xf numFmtId="0" fontId="5" fillId="6" borderId="31" xfId="23" applyFont="1" applyFill="1" applyBorder="1"/>
    <xf numFmtId="0" fontId="4" fillId="6" borderId="22" xfId="23" applyFont="1" applyFill="1" applyBorder="1"/>
    <xf numFmtId="0" fontId="2" fillId="0" borderId="15" xfId="6" applyFont="1" applyFill="1" applyBorder="1"/>
    <xf numFmtId="0" fontId="4" fillId="6" borderId="17" xfId="23" applyFont="1" applyFill="1" applyBorder="1"/>
    <xf numFmtId="0" fontId="4" fillId="0" borderId="1" xfId="6" applyFont="1" applyFill="1" applyBorder="1"/>
    <xf numFmtId="191" fontId="4" fillId="0" borderId="1" xfId="6" applyNumberFormat="1" applyFont="1" applyFill="1" applyBorder="1" applyAlignment="1" applyProtection="1">
      <alignment horizontal="right"/>
    </xf>
    <xf numFmtId="169" fontId="4" fillId="0" borderId="1" xfId="44" applyNumberFormat="1" applyFont="1" applyFill="1" applyBorder="1" applyAlignment="1">
      <alignment horizontal="right"/>
    </xf>
    <xf numFmtId="43" fontId="4" fillId="0" borderId="1" xfId="40" applyFont="1" applyFill="1" applyBorder="1"/>
    <xf numFmtId="43" fontId="2" fillId="0" borderId="1" xfId="40" applyFont="1" applyFill="1" applyBorder="1" applyAlignment="1">
      <alignment horizontal="right"/>
    </xf>
    <xf numFmtId="0" fontId="4" fillId="0" borderId="1" xfId="39" applyFont="1" applyFill="1" applyBorder="1" applyAlignment="1">
      <alignment horizontal="right"/>
    </xf>
    <xf numFmtId="173" fontId="4" fillId="0" borderId="1" xfId="6" applyNumberFormat="1" applyFont="1" applyFill="1" applyBorder="1"/>
    <xf numFmtId="43" fontId="4" fillId="0" borderId="1" xfId="40" applyFont="1" applyFill="1" applyBorder="1" applyAlignment="1"/>
    <xf numFmtId="164" fontId="2" fillId="0" borderId="19" xfId="6" applyNumberFormat="1" applyFont="1" applyFill="1" applyBorder="1" applyAlignment="1">
      <alignment horizontal="right"/>
    </xf>
    <xf numFmtId="0" fontId="4" fillId="6" borderId="23" xfId="23" applyFont="1" applyFill="1" applyBorder="1"/>
    <xf numFmtId="0" fontId="4" fillId="0" borderId="24" xfId="39" applyFont="1" applyFill="1" applyBorder="1" applyAlignment="1">
      <alignment horizontal="right"/>
    </xf>
    <xf numFmtId="187" fontId="4" fillId="0" borderId="24" xfId="6" applyNumberFormat="1" applyFont="1" applyFill="1" applyBorder="1"/>
    <xf numFmtId="43" fontId="4" fillId="0" borderId="24" xfId="40" applyFont="1" applyFill="1" applyBorder="1" applyAlignment="1"/>
    <xf numFmtId="43" fontId="2" fillId="0" borderId="24" xfId="40" applyFont="1" applyFill="1" applyBorder="1" applyAlignment="1">
      <alignment horizontal="right"/>
    </xf>
    <xf numFmtId="164" fontId="2" fillId="0" borderId="25" xfId="6" applyNumberFormat="1" applyFont="1" applyFill="1" applyBorder="1" applyAlignment="1">
      <alignment horizontal="right"/>
    </xf>
    <xf numFmtId="169" fontId="35" fillId="6" borderId="0" xfId="24" applyFont="1" applyFill="1" applyAlignment="1">
      <alignment vertical="top"/>
    </xf>
    <xf numFmtId="39" fontId="33" fillId="6" borderId="34" xfId="26" applyFont="1" applyFill="1" applyBorder="1"/>
    <xf numFmtId="4" fontId="4" fillId="6" borderId="16" xfId="23" applyNumberFormat="1" applyFont="1" applyFill="1" applyBorder="1" applyAlignment="1">
      <alignment vertical="top"/>
    </xf>
    <xf numFmtId="4" fontId="4" fillId="6" borderId="19" xfId="23" applyNumberFormat="1" applyFont="1" applyFill="1" applyBorder="1" applyAlignment="1">
      <alignment vertical="top"/>
    </xf>
    <xf numFmtId="0" fontId="5" fillId="6" borderId="7" xfId="23" applyFont="1" applyFill="1" applyBorder="1"/>
    <xf numFmtId="4" fontId="2" fillId="6" borderId="7" xfId="23" applyNumberFormat="1" applyFont="1" applyFill="1" applyBorder="1" applyAlignment="1">
      <alignment horizontal="right" vertical="top"/>
    </xf>
    <xf numFmtId="169" fontId="2" fillId="6" borderId="21" xfId="24" applyFont="1" applyFill="1" applyBorder="1"/>
    <xf numFmtId="0" fontId="6" fillId="6" borderId="15" xfId="23" applyFont="1" applyFill="1" applyBorder="1" applyAlignment="1">
      <alignment horizontal="right" vertical="top"/>
    </xf>
    <xf numFmtId="4" fontId="2" fillId="6" borderId="15" xfId="23" applyNumberFormat="1" applyFont="1" applyFill="1" applyBorder="1" applyAlignment="1">
      <alignment horizontal="right" vertical="top"/>
    </xf>
    <xf numFmtId="169" fontId="34" fillId="6" borderId="16" xfId="24" applyFont="1" applyFill="1" applyBorder="1"/>
    <xf numFmtId="4" fontId="2" fillId="6" borderId="24" xfId="23" applyNumberFormat="1" applyFont="1" applyFill="1" applyBorder="1" applyAlignment="1">
      <alignment horizontal="right" vertical="top"/>
    </xf>
    <xf numFmtId="4" fontId="2" fillId="6" borderId="1" xfId="23" applyNumberFormat="1" applyFont="1" applyFill="1" applyBorder="1" applyAlignment="1">
      <alignment horizontal="right" vertical="top"/>
    </xf>
    <xf numFmtId="4" fontId="2" fillId="6" borderId="19" xfId="23" applyNumberFormat="1" applyFont="1" applyFill="1" applyBorder="1" applyAlignment="1">
      <alignment vertical="top"/>
    </xf>
    <xf numFmtId="0" fontId="6" fillId="6" borderId="31" xfId="23" applyFont="1" applyFill="1" applyBorder="1" applyAlignment="1">
      <alignment vertical="top"/>
    </xf>
    <xf numFmtId="4" fontId="2" fillId="6" borderId="31" xfId="23" applyNumberFormat="1" applyFont="1" applyFill="1" applyBorder="1" applyAlignment="1">
      <alignment horizontal="right" vertical="top"/>
    </xf>
    <xf numFmtId="169" fontId="36" fillId="6" borderId="32" xfId="24" applyFont="1" applyFill="1" applyBorder="1" applyAlignment="1">
      <alignment vertical="top"/>
    </xf>
    <xf numFmtId="0" fontId="2" fillId="2" borderId="0" xfId="4" applyFont="1" applyFill="1" applyAlignment="1">
      <alignment vertical="top"/>
    </xf>
    <xf numFmtId="4" fontId="2" fillId="2" borderId="0" xfId="4" applyNumberFormat="1" applyFont="1" applyFill="1" applyAlignment="1">
      <alignment vertical="top"/>
    </xf>
    <xf numFmtId="0" fontId="4" fillId="2" borderId="0" xfId="4" applyFont="1" applyFill="1" applyAlignment="1">
      <alignment vertical="top"/>
    </xf>
    <xf numFmtId="0" fontId="28" fillId="2" borderId="0" xfId="4" applyFont="1" applyFill="1" applyAlignment="1">
      <alignment vertical="top"/>
    </xf>
    <xf numFmtId="0" fontId="4" fillId="2" borderId="15" xfId="4" applyFont="1" applyFill="1" applyBorder="1" applyAlignment="1" applyProtection="1">
      <alignment horizontal="left" vertical="top"/>
    </xf>
    <xf numFmtId="4" fontId="4" fillId="2" borderId="15" xfId="4" applyNumberFormat="1" applyFont="1" applyFill="1" applyBorder="1" applyAlignment="1">
      <alignment horizontal="right" vertical="top"/>
    </xf>
    <xf numFmtId="0" fontId="4" fillId="2" borderId="15" xfId="4" applyFont="1" applyFill="1" applyBorder="1" applyAlignment="1">
      <alignment horizontal="center" vertical="top"/>
    </xf>
    <xf numFmtId="0" fontId="4" fillId="2" borderId="15" xfId="4" applyFont="1" applyFill="1" applyBorder="1" applyAlignment="1">
      <alignment horizontal="right" vertical="top"/>
    </xf>
    <xf numFmtId="4" fontId="4" fillId="2" borderId="16" xfId="4" applyNumberFormat="1" applyFont="1" applyFill="1" applyBorder="1" applyAlignment="1">
      <alignment horizontal="right" vertical="top"/>
    </xf>
    <xf numFmtId="0" fontId="4" fillId="2" borderId="1" xfId="4" applyFont="1" applyFill="1" applyBorder="1" applyAlignment="1" applyProtection="1">
      <alignment horizontal="left" vertical="top"/>
    </xf>
    <xf numFmtId="4" fontId="4" fillId="2" borderId="1" xfId="4" applyNumberFormat="1" applyFont="1" applyFill="1" applyBorder="1" applyAlignment="1" applyProtection="1">
      <alignment horizontal="right" vertical="top"/>
    </xf>
    <xf numFmtId="0" fontId="4" fillId="2" borderId="1" xfId="4" applyFont="1" applyFill="1" applyBorder="1" applyAlignment="1" applyProtection="1">
      <alignment horizontal="center" vertical="top"/>
    </xf>
    <xf numFmtId="4" fontId="4" fillId="2" borderId="19" xfId="4" applyNumberFormat="1" applyFont="1" applyFill="1" applyBorder="1" applyAlignment="1">
      <alignment horizontal="right" vertical="top"/>
    </xf>
    <xf numFmtId="2" fontId="4" fillId="2" borderId="1" xfId="4" applyNumberFormat="1" applyFont="1" applyFill="1" applyBorder="1" applyAlignment="1" applyProtection="1">
      <alignment horizontal="right" vertical="top"/>
    </xf>
    <xf numFmtId="187" fontId="5" fillId="6" borderId="0" xfId="23" applyNumberFormat="1" applyFont="1" applyFill="1" applyBorder="1"/>
    <xf numFmtId="0" fontId="4" fillId="2" borderId="1" xfId="4" applyFont="1" applyFill="1" applyBorder="1" applyAlignment="1">
      <alignment horizontal="right" vertical="top"/>
    </xf>
    <xf numFmtId="0" fontId="4" fillId="2" borderId="1" xfId="4" applyFont="1" applyFill="1" applyBorder="1" applyAlignment="1">
      <alignment horizontal="center" vertical="top"/>
    </xf>
    <xf numFmtId="0" fontId="2" fillId="2" borderId="24" xfId="4" applyFont="1" applyFill="1" applyBorder="1" applyAlignment="1">
      <alignment horizontal="right" vertical="top"/>
    </xf>
    <xf numFmtId="178" fontId="2" fillId="2" borderId="19" xfId="4" applyNumberFormat="1" applyFont="1" applyFill="1" applyBorder="1" applyAlignment="1" applyProtection="1">
      <alignment horizontal="right" vertical="top"/>
    </xf>
    <xf numFmtId="0" fontId="37" fillId="2" borderId="24" xfId="4" applyFont="1" applyFill="1" applyBorder="1" applyAlignment="1">
      <alignment vertical="top"/>
    </xf>
    <xf numFmtId="4" fontId="20" fillId="2" borderId="25" xfId="4" applyNumberFormat="1" applyFont="1" applyFill="1" applyBorder="1" applyAlignment="1">
      <alignment vertical="top"/>
    </xf>
    <xf numFmtId="0" fontId="20" fillId="6" borderId="0" xfId="23" applyFont="1" applyFill="1" applyBorder="1" applyAlignment="1">
      <alignment horizontal="right" vertical="top"/>
    </xf>
    <xf numFmtId="169" fontId="22" fillId="8" borderId="0" xfId="24" applyFont="1" applyFill="1" applyAlignment="1">
      <alignment vertical="top"/>
    </xf>
    <xf numFmtId="0" fontId="22" fillId="6" borderId="0" xfId="23" applyFont="1" applyFill="1" applyBorder="1" applyAlignment="1">
      <alignment vertical="top"/>
    </xf>
    <xf numFmtId="169" fontId="20" fillId="8" borderId="0" xfId="24" applyFont="1" applyFill="1" applyAlignment="1">
      <alignment vertical="top"/>
    </xf>
    <xf numFmtId="169" fontId="20" fillId="6" borderId="0" xfId="24" applyFont="1" applyFill="1" applyAlignment="1">
      <alignment horizontal="right" vertical="top"/>
    </xf>
    <xf numFmtId="169" fontId="22" fillId="6" borderId="0" xfId="24" applyFont="1" applyFill="1" applyAlignment="1">
      <alignment vertical="top"/>
    </xf>
    <xf numFmtId="169" fontId="5" fillId="6" borderId="22" xfId="24" applyFont="1" applyFill="1" applyBorder="1" applyAlignment="1">
      <alignment horizontal="right" vertical="top"/>
    </xf>
    <xf numFmtId="169" fontId="5" fillId="8" borderId="1" xfId="24" applyFont="1" applyFill="1" applyBorder="1" applyAlignment="1">
      <alignment vertical="top"/>
    </xf>
    <xf numFmtId="0" fontId="5" fillId="6" borderId="7" xfId="23" applyFont="1" applyFill="1" applyBorder="1" applyAlignment="1">
      <alignment vertical="top"/>
    </xf>
    <xf numFmtId="169" fontId="5" fillId="6" borderId="7" xfId="24" applyFont="1" applyFill="1" applyBorder="1" applyAlignment="1">
      <alignment vertical="top"/>
    </xf>
    <xf numFmtId="169" fontId="5" fillId="6" borderId="24" xfId="24" applyFont="1" applyFill="1" applyBorder="1" applyAlignment="1">
      <alignment horizontal="center" vertical="center"/>
    </xf>
    <xf numFmtId="4" fontId="6" fillId="6" borderId="25" xfId="24" applyNumberFormat="1" applyFont="1" applyFill="1" applyBorder="1" applyAlignment="1">
      <alignment vertical="top"/>
    </xf>
    <xf numFmtId="0" fontId="5" fillId="6" borderId="34" xfId="23" applyFont="1" applyFill="1" applyBorder="1" applyAlignment="1">
      <alignment horizontal="center" vertical="top"/>
    </xf>
    <xf numFmtId="169" fontId="22" fillId="6" borderId="0" xfId="24" applyFont="1" applyFill="1" applyAlignment="1">
      <alignment horizontal="right" vertical="top"/>
    </xf>
    <xf numFmtId="2" fontId="20" fillId="8" borderId="0" xfId="23" applyNumberFormat="1" applyFont="1" applyFill="1" applyAlignment="1">
      <alignment vertical="top"/>
    </xf>
    <xf numFmtId="169" fontId="5" fillId="8" borderId="1" xfId="24" applyFont="1" applyFill="1" applyBorder="1"/>
    <xf numFmtId="169" fontId="6" fillId="10" borderId="0" xfId="24" applyFont="1" applyFill="1" applyAlignment="1">
      <alignment vertical="top"/>
    </xf>
    <xf numFmtId="0" fontId="6" fillId="6" borderId="15" xfId="23" applyFont="1" applyFill="1" applyBorder="1" applyAlignment="1">
      <alignment vertical="top"/>
    </xf>
    <xf numFmtId="169" fontId="5" fillId="6" borderId="16" xfId="24" applyFont="1" applyFill="1" applyBorder="1" applyAlignment="1">
      <alignment vertical="top"/>
    </xf>
    <xf numFmtId="169" fontId="5" fillId="6" borderId="0" xfId="23" applyNumberFormat="1" applyFont="1" applyFill="1"/>
    <xf numFmtId="169" fontId="12" fillId="8" borderId="1" xfId="24" applyFont="1" applyFill="1" applyBorder="1" applyAlignment="1">
      <alignment vertical="top"/>
    </xf>
    <xf numFmtId="43" fontId="5" fillId="6" borderId="0" xfId="23" applyNumberFormat="1" applyFont="1" applyFill="1"/>
    <xf numFmtId="0" fontId="6" fillId="4" borderId="1" xfId="23" applyFont="1" applyFill="1" applyBorder="1" applyAlignment="1">
      <alignment horizontal="center" vertical="top"/>
    </xf>
    <xf numFmtId="169" fontId="6" fillId="4" borderId="1" xfId="24" applyFont="1" applyFill="1" applyBorder="1" applyAlignment="1">
      <alignment horizontal="right" vertical="top"/>
    </xf>
    <xf numFmtId="169" fontId="6" fillId="4" borderId="19" xfId="24" applyFont="1" applyFill="1" applyBorder="1" applyAlignment="1">
      <alignment vertical="top"/>
    </xf>
    <xf numFmtId="169" fontId="5" fillId="4" borderId="1" xfId="24" applyFont="1" applyFill="1" applyBorder="1"/>
    <xf numFmtId="0" fontId="5" fillId="4" borderId="1" xfId="23" applyFont="1" applyFill="1" applyBorder="1" applyAlignment="1">
      <alignment horizontal="center"/>
    </xf>
    <xf numFmtId="169" fontId="6" fillId="4" borderId="19" xfId="24" applyFont="1" applyFill="1" applyBorder="1"/>
    <xf numFmtId="169" fontId="6" fillId="6" borderId="19" xfId="24" applyFont="1" applyFill="1" applyBorder="1"/>
    <xf numFmtId="169" fontId="5" fillId="2" borderId="7" xfId="24" applyFont="1" applyFill="1" applyBorder="1"/>
    <xf numFmtId="0" fontId="6" fillId="4" borderId="7" xfId="23" applyFont="1" applyFill="1" applyBorder="1" applyAlignment="1">
      <alignment horizontal="center" vertical="top"/>
    </xf>
    <xf numFmtId="169" fontId="5" fillId="4" borderId="7" xfId="24" applyFont="1" applyFill="1" applyBorder="1"/>
    <xf numFmtId="0" fontId="5" fillId="4" borderId="7" xfId="23" applyFont="1" applyFill="1" applyBorder="1" applyAlignment="1">
      <alignment horizontal="center"/>
    </xf>
    <xf numFmtId="169" fontId="6" fillId="4" borderId="7" xfId="24" applyFont="1" applyFill="1" applyBorder="1" applyAlignment="1">
      <alignment horizontal="right" vertical="top"/>
    </xf>
    <xf numFmtId="169" fontId="6" fillId="4" borderId="21" xfId="24" applyFont="1" applyFill="1" applyBorder="1"/>
    <xf numFmtId="169" fontId="22" fillId="6" borderId="16" xfId="24" applyFont="1" applyFill="1" applyBorder="1"/>
    <xf numFmtId="169" fontId="20" fillId="6" borderId="0" xfId="24" applyFont="1" applyFill="1" applyBorder="1"/>
    <xf numFmtId="169" fontId="6" fillId="6" borderId="0" xfId="24" applyFont="1" applyFill="1" applyAlignment="1">
      <alignment horizontal="right" vertical="top"/>
    </xf>
    <xf numFmtId="0" fontId="38" fillId="2" borderId="0" xfId="45" applyFont="1" applyFill="1" applyAlignment="1">
      <alignment vertical="center"/>
    </xf>
    <xf numFmtId="0" fontId="38" fillId="2" borderId="0" xfId="45" applyFont="1" applyFill="1" applyAlignment="1">
      <alignment horizontal="center" vertical="top"/>
    </xf>
    <xf numFmtId="0" fontId="3" fillId="2" borderId="15" xfId="45" applyFont="1" applyFill="1" applyBorder="1" applyAlignment="1">
      <alignment vertical="top"/>
    </xf>
    <xf numFmtId="2" fontId="3" fillId="2" borderId="15" xfId="45" applyNumberFormat="1" applyFont="1" applyFill="1" applyBorder="1" applyAlignment="1">
      <alignment vertical="top"/>
    </xf>
    <xf numFmtId="0" fontId="3" fillId="2" borderId="15" xfId="45" applyFont="1" applyFill="1" applyBorder="1" applyAlignment="1">
      <alignment horizontal="center" vertical="top"/>
    </xf>
    <xf numFmtId="4" fontId="3" fillId="2" borderId="15" xfId="45" applyNumberFormat="1" applyFont="1" applyFill="1" applyBorder="1" applyAlignment="1">
      <alignment vertical="top"/>
    </xf>
    <xf numFmtId="4" fontId="3" fillId="2" borderId="16" xfId="45" applyNumberFormat="1" applyFont="1" applyFill="1" applyBorder="1" applyAlignment="1">
      <alignment vertical="top"/>
    </xf>
    <xf numFmtId="0" fontId="3" fillId="2" borderId="1" xfId="45" applyFont="1" applyFill="1" applyBorder="1" applyAlignment="1">
      <alignment vertical="top"/>
    </xf>
    <xf numFmtId="2" fontId="3" fillId="2" borderId="1" xfId="45" applyNumberFormat="1" applyFont="1" applyFill="1" applyBorder="1" applyAlignment="1">
      <alignment vertical="top"/>
    </xf>
    <xf numFmtId="0" fontId="3" fillId="2" borderId="1" xfId="45" applyFont="1" applyFill="1" applyBorder="1" applyAlignment="1">
      <alignment horizontal="center" vertical="top"/>
    </xf>
    <xf numFmtId="4" fontId="3" fillId="2" borderId="1" xfId="45" applyNumberFormat="1" applyFont="1" applyFill="1" applyBorder="1" applyAlignment="1">
      <alignment vertical="top"/>
    </xf>
    <xf numFmtId="4" fontId="3" fillId="2" borderId="19" xfId="45" applyNumberFormat="1" applyFont="1" applyFill="1" applyBorder="1" applyAlignment="1">
      <alignment vertical="top"/>
    </xf>
    <xf numFmtId="2" fontId="3" fillId="2" borderId="1" xfId="45" applyNumberFormat="1" applyFont="1" applyFill="1" applyBorder="1" applyAlignment="1">
      <alignment vertical="top" wrapText="1"/>
    </xf>
    <xf numFmtId="0" fontId="3" fillId="2" borderId="1" xfId="45" applyFont="1" applyFill="1" applyBorder="1" applyAlignment="1">
      <alignment horizontal="left" vertical="top" wrapText="1"/>
    </xf>
    <xf numFmtId="2" fontId="3" fillId="2" borderId="1" xfId="45" applyNumberFormat="1" applyFont="1" applyFill="1" applyBorder="1" applyAlignment="1">
      <alignment vertical="center"/>
    </xf>
    <xf numFmtId="0" fontId="3" fillId="2" borderId="1" xfId="45" applyFont="1" applyFill="1" applyBorder="1" applyAlignment="1">
      <alignment horizontal="center" vertical="center"/>
    </xf>
    <xf numFmtId="4" fontId="3" fillId="2" borderId="1" xfId="45" applyNumberFormat="1" applyFont="1" applyFill="1" applyBorder="1" applyAlignment="1">
      <alignment vertical="center"/>
    </xf>
    <xf numFmtId="4" fontId="3" fillId="2" borderId="19" xfId="45" applyNumberFormat="1" applyFont="1" applyFill="1" applyBorder="1" applyAlignment="1">
      <alignment vertical="center"/>
    </xf>
    <xf numFmtId="0" fontId="3" fillId="2" borderId="24" xfId="45" applyFont="1" applyFill="1" applyBorder="1" applyAlignment="1">
      <alignment vertical="top"/>
    </xf>
    <xf numFmtId="0" fontId="39" fillId="2" borderId="24" xfId="45" applyFont="1" applyFill="1" applyBorder="1" applyAlignment="1">
      <alignment horizontal="right" vertical="top"/>
    </xf>
    <xf numFmtId="43" fontId="39" fillId="2" borderId="25" xfId="46" applyFont="1" applyFill="1" applyBorder="1" applyAlignment="1">
      <alignment vertical="top"/>
    </xf>
    <xf numFmtId="0" fontId="39" fillId="0" borderId="0" xfId="47" applyFont="1" applyAlignment="1">
      <alignment vertical="top"/>
    </xf>
    <xf numFmtId="0" fontId="1" fillId="0" borderId="0" xfId="47"/>
    <xf numFmtId="0" fontId="3" fillId="0" borderId="15" xfId="47" applyFont="1" applyBorder="1" applyAlignment="1">
      <alignment vertical="top"/>
    </xf>
    <xf numFmtId="4" fontId="3" fillId="0" borderId="15" xfId="47" applyNumberFormat="1" applyFont="1" applyBorder="1" applyAlignment="1">
      <alignment vertical="top"/>
    </xf>
    <xf numFmtId="0" fontId="3" fillId="0" borderId="15" xfId="47" applyFont="1" applyBorder="1" applyAlignment="1">
      <alignment horizontal="center" vertical="top"/>
    </xf>
    <xf numFmtId="4" fontId="3" fillId="0" borderId="16" xfId="47" applyNumberFormat="1" applyFont="1" applyBorder="1" applyAlignment="1">
      <alignment vertical="top"/>
    </xf>
    <xf numFmtId="0" fontId="0" fillId="0" borderId="1" xfId="47" applyFont="1" applyBorder="1" applyAlignment="1">
      <alignment vertical="top"/>
    </xf>
    <xf numFmtId="4" fontId="3" fillId="0" borderId="1" xfId="47" applyNumberFormat="1" applyFont="1" applyBorder="1" applyAlignment="1">
      <alignment vertical="top"/>
    </xf>
    <xf numFmtId="0" fontId="3" fillId="0" borderId="1" xfId="47" applyFont="1" applyBorder="1" applyAlignment="1">
      <alignment horizontal="center" vertical="top"/>
    </xf>
    <xf numFmtId="4" fontId="3" fillId="0" borderId="19" xfId="47" applyNumberFormat="1" applyFont="1" applyBorder="1" applyAlignment="1">
      <alignment vertical="top"/>
    </xf>
    <xf numFmtId="0" fontId="3" fillId="0" borderId="1" xfId="47" applyFont="1" applyBorder="1" applyAlignment="1">
      <alignment vertical="top"/>
    </xf>
    <xf numFmtId="0" fontId="39" fillId="0" borderId="1" xfId="47" applyFont="1" applyBorder="1" applyAlignment="1">
      <alignment horizontal="right" vertical="top"/>
    </xf>
    <xf numFmtId="4" fontId="39" fillId="0" borderId="19" xfId="47" applyNumberFormat="1" applyFont="1" applyBorder="1" applyAlignment="1">
      <alignment vertical="top"/>
    </xf>
    <xf numFmtId="0" fontId="3" fillId="0" borderId="24" xfId="45" applyBorder="1"/>
    <xf numFmtId="0" fontId="39" fillId="0" borderId="24" xfId="47" applyFont="1" applyBorder="1" applyAlignment="1">
      <alignment horizontal="right" vertical="top"/>
    </xf>
    <xf numFmtId="0" fontId="20" fillId="0" borderId="25" xfId="45" applyFont="1" applyBorder="1"/>
    <xf numFmtId="4" fontId="22" fillId="0" borderId="10" xfId="47" applyNumberFormat="1" applyFont="1" applyBorder="1" applyAlignment="1">
      <alignment vertical="top"/>
    </xf>
    <xf numFmtId="4" fontId="20" fillId="0" borderId="10" xfId="47" applyNumberFormat="1" applyFont="1" applyBorder="1" applyAlignment="1">
      <alignment vertical="top"/>
    </xf>
    <xf numFmtId="0" fontId="5" fillId="0" borderId="15" xfId="37" applyFont="1" applyFill="1" applyBorder="1" applyAlignment="1">
      <alignment horizontal="left"/>
    </xf>
    <xf numFmtId="4" fontId="4" fillId="6" borderId="16" xfId="45" applyNumberFormat="1" applyFont="1" applyFill="1" applyBorder="1" applyAlignment="1" applyProtection="1">
      <alignment horizontal="right" vertical="center"/>
      <protection locked="0"/>
    </xf>
    <xf numFmtId="0" fontId="5" fillId="0" borderId="1" xfId="37" applyFont="1" applyFill="1" applyBorder="1" applyAlignment="1">
      <alignment horizontal="left"/>
    </xf>
    <xf numFmtId="4" fontId="4" fillId="6" borderId="19" xfId="45" applyNumberFormat="1" applyFont="1" applyFill="1" applyBorder="1" applyAlignment="1" applyProtection="1">
      <alignment horizontal="right" vertical="center"/>
      <protection locked="0"/>
    </xf>
    <xf numFmtId="4" fontId="12" fillId="8" borderId="1" xfId="38" applyNumberFormat="1" applyFont="1" applyFill="1" applyBorder="1"/>
    <xf numFmtId="169" fontId="5" fillId="0" borderId="1" xfId="38" applyFont="1" applyFill="1" applyBorder="1"/>
    <xf numFmtId="169" fontId="6" fillId="0" borderId="1" xfId="38" applyFont="1" applyFill="1" applyBorder="1" applyAlignment="1">
      <alignment horizontal="right"/>
    </xf>
    <xf numFmtId="4" fontId="6" fillId="0" borderId="19" xfId="38" applyNumberFormat="1" applyFont="1" applyFill="1" applyBorder="1" applyAlignment="1"/>
    <xf numFmtId="0" fontId="5" fillId="6" borderId="24" xfId="37" applyFont="1" applyFill="1" applyBorder="1" applyAlignment="1">
      <alignment horizontal="left"/>
    </xf>
    <xf numFmtId="169" fontId="5" fillId="6" borderId="24" xfId="38" applyFont="1" applyFill="1" applyBorder="1"/>
    <xf numFmtId="169" fontId="5" fillId="6" borderId="24" xfId="38" applyFont="1" applyFill="1" applyBorder="1" applyAlignment="1">
      <alignment horizontal="center"/>
    </xf>
    <xf numFmtId="169" fontId="6" fillId="6" borderId="24" xfId="38" applyFont="1" applyFill="1" applyBorder="1" applyAlignment="1">
      <alignment horizontal="right"/>
    </xf>
    <xf numFmtId="4" fontId="4" fillId="6" borderId="16" xfId="45" applyNumberFormat="1" applyFont="1" applyFill="1" applyBorder="1" applyAlignment="1" applyProtection="1">
      <alignment horizontal="right" vertical="top"/>
      <protection locked="0"/>
    </xf>
    <xf numFmtId="4" fontId="4" fillId="6" borderId="19" xfId="45" applyNumberFormat="1" applyFont="1" applyFill="1" applyBorder="1" applyAlignment="1" applyProtection="1">
      <alignment horizontal="right" vertical="top"/>
      <protection locked="0"/>
    </xf>
    <xf numFmtId="43" fontId="5" fillId="6" borderId="1" xfId="23" applyNumberFormat="1" applyFont="1" applyFill="1" applyBorder="1" applyAlignment="1">
      <alignment horizontal="center" vertical="top"/>
    </xf>
    <xf numFmtId="4" fontId="6" fillId="6" borderId="19" xfId="24" applyNumberFormat="1" applyFont="1" applyFill="1" applyBorder="1" applyAlignment="1">
      <alignment vertical="top"/>
    </xf>
    <xf numFmtId="4" fontId="20" fillId="6" borderId="25" xfId="24" applyNumberFormat="1" applyFont="1" applyFill="1" applyBorder="1" applyAlignment="1">
      <alignment vertical="top"/>
    </xf>
    <xf numFmtId="169" fontId="6" fillId="6" borderId="25" xfId="24" applyFont="1" applyFill="1" applyBorder="1" applyAlignment="1">
      <alignment vertical="top"/>
    </xf>
    <xf numFmtId="4" fontId="5" fillId="6" borderId="16" xfId="24" applyNumberFormat="1" applyFont="1" applyFill="1" applyBorder="1" applyAlignment="1" applyProtection="1">
      <alignment horizontal="right" vertical="top"/>
      <protection locked="0"/>
    </xf>
    <xf numFmtId="10" fontId="5" fillId="6" borderId="1" xfId="24" applyNumberFormat="1" applyFont="1" applyFill="1" applyBorder="1" applyAlignment="1">
      <alignment vertical="top"/>
    </xf>
    <xf numFmtId="4" fontId="5" fillId="6" borderId="19" xfId="24" applyNumberFormat="1" applyFont="1" applyFill="1" applyBorder="1" applyAlignment="1" applyProtection="1">
      <alignment horizontal="right" vertical="top"/>
      <protection locked="0"/>
    </xf>
    <xf numFmtId="4" fontId="5" fillId="6" borderId="19" xfId="24" applyNumberFormat="1" applyFont="1" applyFill="1" applyBorder="1" applyAlignment="1">
      <alignment vertical="top"/>
    </xf>
    <xf numFmtId="0" fontId="4" fillId="2" borderId="15" xfId="19" applyNumberFormat="1" applyFont="1" applyFill="1" applyBorder="1" applyAlignment="1">
      <alignment vertical="top" wrapText="1"/>
    </xf>
    <xf numFmtId="0" fontId="4" fillId="2" borderId="1" xfId="19" applyNumberFormat="1" applyFont="1" applyFill="1" applyBorder="1" applyAlignment="1">
      <alignment vertical="top" wrapText="1"/>
    </xf>
    <xf numFmtId="40" fontId="4" fillId="2" borderId="1" xfId="19" applyNumberFormat="1" applyFont="1" applyFill="1" applyBorder="1" applyAlignment="1" applyProtection="1">
      <alignment horizontal="right" vertical="top" wrapText="1"/>
    </xf>
    <xf numFmtId="40" fontId="4" fillId="2" borderId="1" xfId="19" applyNumberFormat="1" applyFont="1" applyFill="1" applyBorder="1" applyAlignment="1" applyProtection="1">
      <alignment horizontal="right" vertical="center" wrapText="1"/>
    </xf>
    <xf numFmtId="169" fontId="20" fillId="6" borderId="0" xfId="24" applyFont="1" applyFill="1"/>
    <xf numFmtId="0" fontId="40" fillId="8" borderId="0" xfId="45" applyFont="1" applyFill="1" applyAlignment="1">
      <alignment horizontal="left"/>
    </xf>
    <xf numFmtId="4" fontId="41" fillId="8" borderId="0" xfId="48" applyNumberFormat="1" applyFont="1" applyFill="1"/>
    <xf numFmtId="0" fontId="4" fillId="8" borderId="0" xfId="45" applyFont="1" applyFill="1"/>
    <xf numFmtId="0" fontId="41" fillId="8" borderId="22" xfId="45" applyFont="1" applyFill="1" applyBorder="1" applyAlignment="1">
      <alignment horizontal="left"/>
    </xf>
    <xf numFmtId="4" fontId="41" fillId="8" borderId="15" xfId="48" applyNumberFormat="1" applyFont="1" applyFill="1" applyBorder="1"/>
    <xf numFmtId="4" fontId="41" fillId="8" borderId="15" xfId="48" applyNumberFormat="1" applyFont="1" applyFill="1" applyBorder="1" applyAlignment="1">
      <alignment horizontal="centerContinuous"/>
    </xf>
    <xf numFmtId="4" fontId="41" fillId="8" borderId="16" xfId="48" applyNumberFormat="1" applyFont="1" applyFill="1" applyBorder="1"/>
    <xf numFmtId="0" fontId="41" fillId="8" borderId="17" xfId="45" applyFont="1" applyFill="1" applyBorder="1" applyAlignment="1">
      <alignment horizontal="left"/>
    </xf>
    <xf numFmtId="4" fontId="41" fillId="8" borderId="1" xfId="48" applyNumberFormat="1" applyFont="1" applyFill="1" applyBorder="1"/>
    <xf numFmtId="4" fontId="41" fillId="8" borderId="1" xfId="48" applyNumberFormat="1" applyFont="1" applyFill="1" applyBorder="1" applyAlignment="1">
      <alignment horizontal="centerContinuous"/>
    </xf>
    <xf numFmtId="4" fontId="41" fillId="8" borderId="19" xfId="48" applyNumberFormat="1" applyFont="1" applyFill="1" applyBorder="1"/>
    <xf numFmtId="0" fontId="4" fillId="8" borderId="17" xfId="23" applyFont="1" applyFill="1" applyBorder="1"/>
    <xf numFmtId="4" fontId="4" fillId="8" borderId="1" xfId="23" applyNumberFormat="1" applyFont="1" applyFill="1" applyBorder="1"/>
    <xf numFmtId="4" fontId="4" fillId="8" borderId="1" xfId="23" applyNumberFormat="1" applyFont="1" applyFill="1" applyBorder="1" applyAlignment="1">
      <alignment horizontal="center"/>
    </xf>
    <xf numFmtId="4" fontId="4" fillId="8" borderId="19" xfId="23" applyNumberFormat="1" applyFont="1" applyFill="1" applyBorder="1"/>
    <xf numFmtId="0" fontId="4" fillId="8" borderId="17" xfId="23" quotePrefix="1" applyFont="1" applyFill="1" applyBorder="1" applyAlignment="1">
      <alignment horizontal="left"/>
    </xf>
    <xf numFmtId="0" fontId="4" fillId="8" borderId="23" xfId="23" applyFont="1" applyFill="1" applyBorder="1"/>
    <xf numFmtId="4" fontId="4" fillId="8" borderId="24" xfId="23" applyNumberFormat="1" applyFont="1" applyFill="1" applyBorder="1"/>
    <xf numFmtId="4" fontId="4" fillId="8" borderId="24" xfId="23" applyNumberFormat="1" applyFont="1" applyFill="1" applyBorder="1" applyAlignment="1">
      <alignment horizontal="center"/>
    </xf>
    <xf numFmtId="4" fontId="2" fillId="8" borderId="24" xfId="23" applyNumberFormat="1" applyFont="1" applyFill="1" applyBorder="1" applyAlignment="1">
      <alignment horizontal="right"/>
    </xf>
    <xf numFmtId="4" fontId="40" fillId="8" borderId="25" xfId="48" applyNumberFormat="1" applyFont="1" applyFill="1" applyBorder="1" applyAlignment="1">
      <alignment horizontal="right"/>
    </xf>
    <xf numFmtId="0" fontId="4" fillId="6" borderId="0" xfId="23" applyFont="1" applyFill="1" applyBorder="1"/>
    <xf numFmtId="4" fontId="4" fillId="6" borderId="0" xfId="23" applyNumberFormat="1" applyFont="1" applyFill="1" applyBorder="1"/>
    <xf numFmtId="4" fontId="4" fillId="6" borderId="0" xfId="23" applyNumberFormat="1" applyFont="1" applyFill="1" applyBorder="1" applyAlignment="1">
      <alignment horizontal="center"/>
    </xf>
    <xf numFmtId="4" fontId="2" fillId="6" borderId="0" xfId="23" applyNumberFormat="1" applyFont="1" applyFill="1" applyBorder="1" applyAlignment="1">
      <alignment horizontal="right"/>
    </xf>
    <xf numFmtId="0" fontId="4" fillId="6" borderId="0" xfId="45" applyFont="1" applyFill="1"/>
    <xf numFmtId="0" fontId="40" fillId="6" borderId="0" xfId="23" applyFont="1" applyFill="1"/>
    <xf numFmtId="0" fontId="7" fillId="6" borderId="0" xfId="23" applyFont="1" applyFill="1" applyBorder="1"/>
    <xf numFmtId="4" fontId="7" fillId="6" borderId="0" xfId="23" applyNumberFormat="1" applyFont="1" applyFill="1" applyBorder="1"/>
    <xf numFmtId="4" fontId="42" fillId="6" borderId="0" xfId="23" applyNumberFormat="1" applyFont="1" applyFill="1" applyBorder="1" applyAlignment="1">
      <alignment horizontal="right"/>
    </xf>
    <xf numFmtId="39" fontId="42" fillId="6" borderId="0" xfId="23" applyNumberFormat="1" applyFont="1" applyFill="1" applyBorder="1" applyAlignment="1">
      <alignment horizontal="right"/>
    </xf>
    <xf numFmtId="0" fontId="7" fillId="6" borderId="0" xfId="23" applyFont="1" applyFill="1"/>
    <xf numFmtId="0" fontId="4" fillId="6" borderId="0" xfId="23" applyFont="1" applyFill="1"/>
    <xf numFmtId="0" fontId="42" fillId="6" borderId="0" xfId="23" applyFont="1" applyFill="1" applyBorder="1"/>
    <xf numFmtId="4" fontId="42" fillId="6" borderId="0" xfId="23" applyNumberFormat="1" applyFont="1" applyFill="1"/>
    <xf numFmtId="0" fontId="7" fillId="6" borderId="22" xfId="23" applyFont="1" applyFill="1" applyBorder="1"/>
    <xf numFmtId="4" fontId="7" fillId="6" borderId="15" xfId="23" applyNumberFormat="1" applyFont="1" applyFill="1" applyBorder="1"/>
    <xf numFmtId="4" fontId="7" fillId="6" borderId="15" xfId="23" applyNumberFormat="1" applyFont="1" applyFill="1" applyBorder="1" applyAlignment="1">
      <alignment horizontal="centerContinuous"/>
    </xf>
    <xf numFmtId="4" fontId="7" fillId="6" borderId="16" xfId="23" applyNumberFormat="1" applyFont="1" applyFill="1" applyBorder="1"/>
    <xf numFmtId="0" fontId="7" fillId="6" borderId="17" xfId="23" applyFont="1" applyFill="1" applyBorder="1"/>
    <xf numFmtId="4" fontId="7" fillId="6" borderId="1" xfId="23" applyNumberFormat="1" applyFont="1" applyFill="1" applyBorder="1"/>
    <xf numFmtId="4" fontId="7" fillId="6" borderId="1" xfId="23" applyNumberFormat="1" applyFont="1" applyFill="1" applyBorder="1" applyAlignment="1">
      <alignment horizontal="centerContinuous"/>
    </xf>
    <xf numFmtId="4" fontId="7" fillId="6" borderId="19" xfId="23" applyNumberFormat="1" applyFont="1" applyFill="1" applyBorder="1"/>
    <xf numFmtId="0" fontId="7" fillId="6" borderId="23" xfId="23" applyFont="1" applyFill="1" applyBorder="1"/>
    <xf numFmtId="4" fontId="7" fillId="6" borderId="24" xfId="23" applyNumberFormat="1" applyFont="1" applyFill="1" applyBorder="1"/>
    <xf numFmtId="4" fontId="42" fillId="6" borderId="24" xfId="23" applyNumberFormat="1" applyFont="1" applyFill="1" applyBorder="1" applyAlignment="1">
      <alignment horizontal="right"/>
    </xf>
    <xf numFmtId="4" fontId="43" fillId="6" borderId="25" xfId="23" applyNumberFormat="1" applyFont="1" applyFill="1" applyBorder="1" applyAlignment="1">
      <alignment horizontal="right"/>
    </xf>
    <xf numFmtId="0" fontId="4" fillId="6" borderId="0" xfId="49" applyFont="1" applyFill="1" applyBorder="1"/>
    <xf numFmtId="4" fontId="4" fillId="6" borderId="0" xfId="49" applyNumberFormat="1" applyFont="1" applyFill="1" applyBorder="1"/>
    <xf numFmtId="0" fontId="42" fillId="6" borderId="0" xfId="23" applyFont="1" applyFill="1"/>
    <xf numFmtId="4" fontId="42" fillId="6" borderId="0" xfId="23" applyNumberFormat="1" applyFont="1" applyFill="1" applyAlignment="1">
      <alignment horizontal="center"/>
    </xf>
    <xf numFmtId="0" fontId="7" fillId="6" borderId="13" xfId="23" applyFont="1" applyFill="1" applyBorder="1"/>
    <xf numFmtId="4" fontId="7" fillId="6" borderId="29" xfId="23" applyNumberFormat="1" applyFont="1" applyFill="1" applyBorder="1"/>
    <xf numFmtId="4" fontId="7" fillId="6" borderId="29" xfId="23" applyNumberFormat="1" applyFont="1" applyFill="1" applyBorder="1" applyAlignment="1">
      <alignment horizontal="center"/>
    </xf>
    <xf numFmtId="4" fontId="7" fillId="6" borderId="21" xfId="23" applyNumberFormat="1" applyFont="1" applyFill="1" applyBorder="1"/>
    <xf numFmtId="0" fontId="7" fillId="6" borderId="42" xfId="23" applyFont="1" applyFill="1" applyBorder="1"/>
    <xf numFmtId="4" fontId="7" fillId="6" borderId="2" xfId="23" applyNumberFormat="1" applyFont="1" applyFill="1" applyBorder="1"/>
    <xf numFmtId="4" fontId="7" fillId="6" borderId="2" xfId="23" applyNumberFormat="1" applyFont="1" applyFill="1" applyBorder="1" applyAlignment="1">
      <alignment horizontal="center"/>
    </xf>
    <xf numFmtId="4" fontId="7" fillId="6" borderId="46" xfId="23" applyNumberFormat="1" applyFont="1" applyFill="1" applyBorder="1"/>
    <xf numFmtId="0" fontId="7" fillId="6" borderId="26" xfId="23" applyFont="1" applyFill="1" applyBorder="1"/>
    <xf numFmtId="4" fontId="7" fillId="6" borderId="43" xfId="23" applyNumberFormat="1" applyFont="1" applyFill="1" applyBorder="1"/>
    <xf numFmtId="4" fontId="7" fillId="6" borderId="43" xfId="23" applyNumberFormat="1" applyFont="1" applyFill="1" applyBorder="1" applyAlignment="1">
      <alignment horizontal="center"/>
    </xf>
    <xf numFmtId="4" fontId="42" fillId="6" borderId="43" xfId="23" applyNumberFormat="1" applyFont="1" applyFill="1" applyBorder="1" applyAlignment="1">
      <alignment horizontal="right"/>
    </xf>
    <xf numFmtId="4" fontId="42" fillId="6" borderId="48" xfId="23" applyNumberFormat="1" applyFont="1" applyFill="1" applyBorder="1" applyAlignment="1">
      <alignment horizontal="right"/>
    </xf>
    <xf numFmtId="4" fontId="7" fillId="6" borderId="0" xfId="23" applyNumberFormat="1" applyFont="1" applyFill="1" applyBorder="1" applyAlignment="1">
      <alignment horizontal="center"/>
    </xf>
    <xf numFmtId="0" fontId="4" fillId="8" borderId="0" xfId="23" applyFont="1" applyFill="1"/>
    <xf numFmtId="0" fontId="43" fillId="8" borderId="0" xfId="23" applyFont="1" applyFill="1"/>
    <xf numFmtId="4" fontId="25" fillId="8" borderId="0" xfId="23" applyNumberFormat="1" applyFont="1" applyFill="1"/>
    <xf numFmtId="0" fontId="7" fillId="8" borderId="22" xfId="23" applyFont="1" applyFill="1" applyBorder="1"/>
    <xf numFmtId="4" fontId="25" fillId="8" borderId="15" xfId="23" applyNumberFormat="1" applyFont="1" applyFill="1" applyBorder="1"/>
    <xf numFmtId="4" fontId="25" fillId="8" borderId="15" xfId="23" applyNumberFormat="1" applyFont="1" applyFill="1" applyBorder="1" applyAlignment="1">
      <alignment horizontal="centerContinuous"/>
    </xf>
    <xf numFmtId="4" fontId="7" fillId="8" borderId="29" xfId="23" applyNumberFormat="1" applyFont="1" applyFill="1" applyBorder="1"/>
    <xf numFmtId="4" fontId="25" fillId="8" borderId="16" xfId="23" applyNumberFormat="1" applyFont="1" applyFill="1" applyBorder="1"/>
    <xf numFmtId="0" fontId="25" fillId="8" borderId="17" xfId="23" applyFont="1" applyFill="1" applyBorder="1"/>
    <xf numFmtId="4" fontId="25" fillId="8" borderId="1" xfId="23" applyNumberFormat="1" applyFont="1" applyFill="1" applyBorder="1"/>
    <xf numFmtId="4" fontId="25" fillId="8" borderId="1" xfId="23" applyNumberFormat="1" applyFont="1" applyFill="1" applyBorder="1" applyAlignment="1">
      <alignment horizontal="centerContinuous"/>
    </xf>
    <xf numFmtId="4" fontId="25" fillId="8" borderId="19" xfId="23" applyNumberFormat="1" applyFont="1" applyFill="1" applyBorder="1"/>
    <xf numFmtId="4" fontId="25" fillId="8" borderId="1" xfId="23" applyNumberFormat="1" applyFont="1" applyFill="1" applyBorder="1" applyAlignment="1">
      <alignment horizontal="center"/>
    </xf>
    <xf numFmtId="4" fontId="44" fillId="8" borderId="1" xfId="23" applyNumberFormat="1" applyFont="1" applyFill="1" applyBorder="1"/>
    <xf numFmtId="0" fontId="25" fillId="8" borderId="23" xfId="23" applyFont="1" applyFill="1" applyBorder="1"/>
    <xf numFmtId="4" fontId="25" fillId="8" borderId="24" xfId="23" applyNumberFormat="1" applyFont="1" applyFill="1" applyBorder="1"/>
    <xf numFmtId="4" fontId="43" fillId="8" borderId="24" xfId="23" applyNumberFormat="1" applyFont="1" applyFill="1" applyBorder="1" applyAlignment="1">
      <alignment horizontal="right"/>
    </xf>
    <xf numFmtId="4" fontId="43" fillId="8" borderId="25" xfId="23" applyNumberFormat="1" applyFont="1" applyFill="1" applyBorder="1" applyAlignment="1">
      <alignment horizontal="right"/>
    </xf>
    <xf numFmtId="0" fontId="43" fillId="6" borderId="0" xfId="23" applyFont="1" applyFill="1" applyAlignment="1"/>
    <xf numFmtId="4" fontId="43" fillId="6" borderId="0" xfId="23" applyNumberFormat="1" applyFont="1" applyFill="1" applyAlignment="1">
      <alignment horizontal="centerContinuous"/>
    </xf>
    <xf numFmtId="4" fontId="2" fillId="6" borderId="0" xfId="49" applyNumberFormat="1" applyFont="1" applyFill="1" applyBorder="1" applyAlignment="1">
      <alignment horizontal="right"/>
    </xf>
    <xf numFmtId="4" fontId="2" fillId="6" borderId="0" xfId="49" applyNumberFormat="1" applyFont="1" applyFill="1" applyBorder="1"/>
    <xf numFmtId="0" fontId="45" fillId="6" borderId="0" xfId="49" applyFont="1" applyFill="1" applyBorder="1" applyAlignment="1">
      <alignment horizontal="left"/>
    </xf>
    <xf numFmtId="4" fontId="45" fillId="6" borderId="0" xfId="49" applyNumberFormat="1" applyFont="1" applyFill="1" applyBorder="1"/>
    <xf numFmtId="4" fontId="45" fillId="6" borderId="0" xfId="49" applyNumberFormat="1" applyFont="1" applyFill="1" applyBorder="1" applyAlignment="1">
      <alignment horizontal="center"/>
    </xf>
    <xf numFmtId="4" fontId="45" fillId="6" borderId="0" xfId="49" applyNumberFormat="1" applyFont="1" applyFill="1" applyBorder="1" applyAlignment="1"/>
    <xf numFmtId="0" fontId="2" fillId="6" borderId="0" xfId="45" applyFont="1" applyFill="1"/>
    <xf numFmtId="0" fontId="4" fillId="6" borderId="0" xfId="45" applyFont="1" applyFill="1" applyBorder="1" applyAlignment="1">
      <alignment horizontal="left"/>
    </xf>
    <xf numFmtId="4" fontId="4" fillId="6" borderId="0" xfId="50" applyNumberFormat="1" applyFont="1" applyFill="1" applyBorder="1"/>
    <xf numFmtId="4" fontId="4" fillId="6" borderId="0" xfId="50" applyNumberFormat="1" applyFont="1" applyFill="1" applyBorder="1" applyAlignment="1">
      <alignment horizontal="centerContinuous"/>
    </xf>
    <xf numFmtId="0" fontId="42" fillId="8" borderId="0" xfId="23" applyFont="1" applyFill="1"/>
    <xf numFmtId="0" fontId="42" fillId="8" borderId="0" xfId="23" applyFont="1" applyFill="1" applyBorder="1"/>
    <xf numFmtId="4" fontId="7" fillId="8" borderId="0" xfId="23" applyNumberFormat="1" applyFont="1" applyFill="1" applyBorder="1"/>
    <xf numFmtId="4" fontId="7" fillId="8" borderId="0" xfId="23" applyNumberFormat="1" applyFont="1" applyFill="1" applyBorder="1" applyAlignment="1">
      <alignment horizontal="center"/>
    </xf>
    <xf numFmtId="0" fontId="7" fillId="8" borderId="0" xfId="23" applyFont="1" applyFill="1"/>
    <xf numFmtId="4" fontId="42" fillId="8" borderId="0" xfId="23" applyNumberFormat="1" applyFont="1" applyFill="1"/>
    <xf numFmtId="4" fontId="42" fillId="8" borderId="0" xfId="23" applyNumberFormat="1" applyFont="1" applyFill="1" applyAlignment="1">
      <alignment horizontal="center"/>
    </xf>
    <xf numFmtId="0" fontId="7" fillId="8" borderId="13" xfId="23" applyFont="1" applyFill="1" applyBorder="1"/>
    <xf numFmtId="4" fontId="7" fillId="8" borderId="29" xfId="23" applyNumberFormat="1" applyFont="1" applyFill="1" applyBorder="1" applyAlignment="1">
      <alignment horizontal="center"/>
    </xf>
    <xf numFmtId="4" fontId="7" fillId="8" borderId="35" xfId="23" applyNumberFormat="1" applyFont="1" applyFill="1" applyBorder="1"/>
    <xf numFmtId="0" fontId="7" fillId="8" borderId="42" xfId="23" applyFont="1" applyFill="1" applyBorder="1"/>
    <xf numFmtId="4" fontId="7" fillId="8" borderId="2" xfId="23" applyNumberFormat="1" applyFont="1" applyFill="1" applyBorder="1"/>
    <xf numFmtId="4" fontId="7" fillId="8" borderId="2" xfId="23" applyNumberFormat="1" applyFont="1" applyFill="1" applyBorder="1" applyAlignment="1">
      <alignment horizontal="center"/>
    </xf>
    <xf numFmtId="4" fontId="7" fillId="8" borderId="46" xfId="23" applyNumberFormat="1" applyFont="1" applyFill="1" applyBorder="1"/>
    <xf numFmtId="0" fontId="7" fillId="8" borderId="42" xfId="23" quotePrefix="1" applyFont="1" applyFill="1" applyBorder="1"/>
    <xf numFmtId="0" fontId="7" fillId="8" borderId="26" xfId="23" applyFont="1" applyFill="1" applyBorder="1"/>
    <xf numFmtId="4" fontId="7" fillId="8" borderId="43" xfId="23" applyNumberFormat="1" applyFont="1" applyFill="1" applyBorder="1"/>
    <xf numFmtId="4" fontId="7" fillId="8" borderId="43" xfId="23" applyNumberFormat="1" applyFont="1" applyFill="1" applyBorder="1" applyAlignment="1">
      <alignment horizontal="center"/>
    </xf>
    <xf numFmtId="4" fontId="42" fillId="8" borderId="43" xfId="23" applyNumberFormat="1" applyFont="1" applyFill="1" applyBorder="1" applyAlignment="1">
      <alignment horizontal="right"/>
    </xf>
    <xf numFmtId="4" fontId="42" fillId="8" borderId="48" xfId="23" applyNumberFormat="1" applyFont="1" applyFill="1" applyBorder="1" applyAlignment="1">
      <alignment horizontal="right"/>
    </xf>
    <xf numFmtId="0" fontId="7" fillId="6" borderId="0" xfId="23" applyFont="1" applyFill="1" applyBorder="1" applyAlignment="1">
      <alignment horizontal="right"/>
    </xf>
    <xf numFmtId="4" fontId="7" fillId="6" borderId="0" xfId="25" applyNumberFormat="1" applyFont="1" applyFill="1" applyBorder="1"/>
    <xf numFmtId="0" fontId="2" fillId="11" borderId="0" xfId="45" applyFont="1" applyFill="1"/>
    <xf numFmtId="0" fontId="28" fillId="11" borderId="0" xfId="45" applyFont="1" applyFill="1"/>
    <xf numFmtId="0" fontId="3" fillId="0" borderId="0" xfId="45"/>
    <xf numFmtId="0" fontId="4" fillId="11" borderId="7" xfId="45" applyFont="1" applyFill="1" applyBorder="1" applyAlignment="1" applyProtection="1">
      <alignment horizontal="left" vertical="center"/>
    </xf>
    <xf numFmtId="4" fontId="4" fillId="11" borderId="49" xfId="45" applyNumberFormat="1" applyFont="1" applyFill="1" applyBorder="1" applyAlignment="1">
      <alignment horizontal="right" vertical="center"/>
    </xf>
    <xf numFmtId="0" fontId="4" fillId="11" borderId="49" xfId="45" applyFont="1" applyFill="1" applyBorder="1" applyAlignment="1">
      <alignment horizontal="center" vertical="center"/>
    </xf>
    <xf numFmtId="4" fontId="4" fillId="11" borderId="1" xfId="45" applyNumberFormat="1" applyFont="1" applyFill="1" applyBorder="1" applyAlignment="1" applyProtection="1">
      <alignment horizontal="right" vertical="center"/>
    </xf>
    <xf numFmtId="4" fontId="4" fillId="11" borderId="50" xfId="45" applyNumberFormat="1" applyFont="1" applyFill="1" applyBorder="1" applyAlignment="1">
      <alignment horizontal="right" vertical="center"/>
    </xf>
    <xf numFmtId="0" fontId="4" fillId="11" borderId="1" xfId="45" applyFont="1" applyFill="1" applyBorder="1" applyAlignment="1" applyProtection="1">
      <alignment horizontal="center" vertical="center"/>
    </xf>
    <xf numFmtId="4" fontId="4" fillId="12" borderId="1" xfId="45" applyNumberFormat="1" applyFont="1" applyFill="1" applyBorder="1" applyAlignment="1" applyProtection="1">
      <alignment horizontal="right" vertical="center"/>
    </xf>
    <xf numFmtId="4" fontId="4" fillId="11" borderId="51" xfId="45" applyNumberFormat="1" applyFont="1" applyFill="1" applyBorder="1" applyAlignment="1">
      <alignment horizontal="right" vertical="center"/>
    </xf>
    <xf numFmtId="0" fontId="4" fillId="11" borderId="1" xfId="45" applyFont="1" applyFill="1" applyBorder="1" applyAlignment="1" applyProtection="1">
      <alignment horizontal="left" vertical="center"/>
    </xf>
    <xf numFmtId="4" fontId="4" fillId="11" borderId="52" xfId="45" applyNumberFormat="1" applyFont="1" applyFill="1" applyBorder="1" applyAlignment="1">
      <alignment horizontal="right" vertical="center"/>
    </xf>
    <xf numFmtId="0" fontId="4" fillId="11" borderId="5" xfId="45" applyFont="1" applyFill="1" applyBorder="1" applyAlignment="1" applyProtection="1">
      <alignment horizontal="left" vertical="center"/>
    </xf>
    <xf numFmtId="2" fontId="4" fillId="11" borderId="1" xfId="45" applyNumberFormat="1" applyFont="1" applyFill="1" applyBorder="1" applyAlignment="1" applyProtection="1">
      <alignment horizontal="right" vertical="center"/>
    </xf>
    <xf numFmtId="4" fontId="4" fillId="11" borderId="53" xfId="45" applyNumberFormat="1" applyFont="1" applyFill="1" applyBorder="1" applyAlignment="1">
      <alignment horizontal="right" vertical="center"/>
    </xf>
    <xf numFmtId="0" fontId="4" fillId="11" borderId="54" xfId="45" applyFont="1" applyFill="1" applyBorder="1" applyAlignment="1">
      <alignment vertical="center"/>
    </xf>
    <xf numFmtId="0" fontId="4" fillId="11" borderId="54" xfId="45" applyFont="1" applyFill="1" applyBorder="1" applyAlignment="1">
      <alignment horizontal="right" vertical="center"/>
    </xf>
    <xf numFmtId="0" fontId="4" fillId="11" borderId="54" xfId="45" applyFont="1" applyFill="1" applyBorder="1" applyAlignment="1">
      <alignment horizontal="center" vertical="center"/>
    </xf>
    <xf numFmtId="39" fontId="2" fillId="11" borderId="54" xfId="45" quotePrefix="1" applyNumberFormat="1" applyFont="1" applyFill="1" applyBorder="1" applyAlignment="1" applyProtection="1">
      <alignment horizontal="right" vertical="center"/>
    </xf>
    <xf numFmtId="178" fontId="2" fillId="11" borderId="55" xfId="45" applyNumberFormat="1" applyFont="1" applyFill="1" applyBorder="1" applyAlignment="1" applyProtection="1">
      <alignment horizontal="right" vertical="center"/>
    </xf>
    <xf numFmtId="0" fontId="37" fillId="11" borderId="0" xfId="45" applyFont="1" applyFill="1"/>
    <xf numFmtId="4" fontId="29" fillId="11" borderId="0" xfId="45" applyNumberFormat="1" applyFont="1" applyFill="1"/>
    <xf numFmtId="0" fontId="2" fillId="6" borderId="0" xfId="23" applyFont="1" applyFill="1" applyBorder="1"/>
    <xf numFmtId="4" fontId="4" fillId="6" borderId="15" xfId="23" applyNumberFormat="1" applyFont="1" applyFill="1" applyBorder="1"/>
    <xf numFmtId="4" fontId="4" fillId="6" borderId="15" xfId="23" applyNumberFormat="1" applyFont="1" applyFill="1" applyBorder="1" applyAlignment="1">
      <alignment horizontal="centerContinuous"/>
    </xf>
    <xf numFmtId="4" fontId="4" fillId="6" borderId="16" xfId="23" applyNumberFormat="1" applyFont="1" applyFill="1" applyBorder="1"/>
    <xf numFmtId="4" fontId="4" fillId="6" borderId="1" xfId="23" applyNumberFormat="1" applyFont="1" applyFill="1" applyBorder="1"/>
    <xf numFmtId="4" fontId="4" fillId="6" borderId="1" xfId="23" applyNumberFormat="1" applyFont="1" applyFill="1" applyBorder="1" applyAlignment="1">
      <alignment horizontal="centerContinuous"/>
    </xf>
    <xf numFmtId="4" fontId="4" fillId="6" borderId="19" xfId="23" applyNumberFormat="1" applyFont="1" applyFill="1" applyBorder="1"/>
    <xf numFmtId="4" fontId="4" fillId="6" borderId="24" xfId="23" applyNumberFormat="1" applyFont="1" applyFill="1" applyBorder="1"/>
    <xf numFmtId="4" fontId="2" fillId="6" borderId="24" xfId="23" applyNumberFormat="1" applyFont="1" applyFill="1" applyBorder="1" applyAlignment="1">
      <alignment horizontal="right"/>
    </xf>
    <xf numFmtId="0" fontId="2" fillId="0" borderId="0" xfId="23" applyFont="1" applyFill="1"/>
    <xf numFmtId="4" fontId="4" fillId="0" borderId="0" xfId="23" applyNumberFormat="1" applyFont="1" applyFill="1"/>
    <xf numFmtId="0" fontId="4" fillId="0" borderId="22" xfId="23" applyFont="1" applyFill="1" applyBorder="1"/>
    <xf numFmtId="4" fontId="4" fillId="0" borderId="15" xfId="23" applyNumberFormat="1" applyFont="1" applyFill="1" applyBorder="1"/>
    <xf numFmtId="4" fontId="4" fillId="0" borderId="15" xfId="23" applyNumberFormat="1" applyFont="1" applyFill="1" applyBorder="1" applyAlignment="1">
      <alignment horizontal="centerContinuous"/>
    </xf>
    <xf numFmtId="4" fontId="7" fillId="0" borderId="29" xfId="23" applyNumberFormat="1" applyFont="1" applyFill="1" applyBorder="1"/>
    <xf numFmtId="4" fontId="4" fillId="0" borderId="16" xfId="23" applyNumberFormat="1" applyFont="1" applyFill="1" applyBorder="1"/>
    <xf numFmtId="0" fontId="4" fillId="0" borderId="17" xfId="23" applyFont="1" applyFill="1" applyBorder="1"/>
    <xf numFmtId="4" fontId="4" fillId="0" borderId="1" xfId="23" applyNumberFormat="1" applyFont="1" applyFill="1" applyBorder="1"/>
    <xf numFmtId="4" fontId="4" fillId="0" borderId="1" xfId="23" applyNumberFormat="1" applyFont="1" applyFill="1" applyBorder="1" applyAlignment="1">
      <alignment horizontal="centerContinuous"/>
    </xf>
    <xf numFmtId="4" fontId="4" fillId="0" borderId="19" xfId="23" applyNumberFormat="1" applyFont="1" applyFill="1" applyBorder="1"/>
    <xf numFmtId="4" fontId="4" fillId="0" borderId="1" xfId="23" applyNumberFormat="1" applyFont="1" applyFill="1" applyBorder="1" applyAlignment="1">
      <alignment horizontal="center"/>
    </xf>
    <xf numFmtId="4" fontId="12" fillId="0" borderId="1" xfId="23" applyNumberFormat="1" applyFont="1" applyFill="1" applyBorder="1"/>
    <xf numFmtId="0" fontId="4" fillId="0" borderId="23" xfId="23" applyFont="1" applyFill="1" applyBorder="1"/>
    <xf numFmtId="4" fontId="4" fillId="0" borderId="24" xfId="23" applyNumberFormat="1" applyFont="1" applyFill="1" applyBorder="1"/>
    <xf numFmtId="4" fontId="2" fillId="0" borderId="24" xfId="23" applyNumberFormat="1" applyFont="1" applyFill="1" applyBorder="1" applyAlignment="1">
      <alignment horizontal="right"/>
    </xf>
    <xf numFmtId="4" fontId="2" fillId="0" borderId="25" xfId="23" applyNumberFormat="1" applyFont="1" applyFill="1" applyBorder="1" applyAlignment="1">
      <alignment horizontal="right"/>
    </xf>
    <xf numFmtId="4" fontId="4" fillId="0" borderId="29" xfId="23" applyNumberFormat="1" applyFont="1" applyFill="1" applyBorder="1"/>
    <xf numFmtId="0" fontId="2" fillId="0" borderId="0" xfId="23" applyFont="1" applyFill="1" applyBorder="1"/>
    <xf numFmtId="4" fontId="2" fillId="0" borderId="0" xfId="23" applyNumberFormat="1" applyFont="1" applyFill="1"/>
    <xf numFmtId="4" fontId="2" fillId="0" borderId="0" xfId="23" applyNumberFormat="1" applyFont="1" applyFill="1" applyAlignment="1">
      <alignment horizontal="center"/>
    </xf>
    <xf numFmtId="0" fontId="4" fillId="0" borderId="13" xfId="23" applyFont="1" applyFill="1" applyBorder="1"/>
    <xf numFmtId="4" fontId="4" fillId="0" borderId="29" xfId="23" applyNumberFormat="1" applyFont="1" applyFill="1" applyBorder="1" applyAlignment="1">
      <alignment horizontal="center"/>
    </xf>
    <xf numFmtId="4" fontId="4" fillId="0" borderId="35" xfId="23" applyNumberFormat="1" applyFont="1" applyFill="1" applyBorder="1"/>
    <xf numFmtId="0" fontId="4" fillId="0" borderId="42" xfId="23" applyFont="1" applyFill="1" applyBorder="1"/>
    <xf numFmtId="4" fontId="4" fillId="0" borderId="2" xfId="23" applyNumberFormat="1" applyFont="1" applyFill="1" applyBorder="1"/>
    <xf numFmtId="4" fontId="4" fillId="0" borderId="2" xfId="23" applyNumberFormat="1" applyFont="1" applyFill="1" applyBorder="1" applyAlignment="1">
      <alignment horizontal="center"/>
    </xf>
    <xf numFmtId="4" fontId="4" fillId="0" borderId="46" xfId="23" applyNumberFormat="1" applyFont="1" applyFill="1" applyBorder="1"/>
    <xf numFmtId="0" fontId="4" fillId="0" borderId="42" xfId="23" quotePrefix="1" applyFont="1" applyFill="1" applyBorder="1"/>
    <xf numFmtId="0" fontId="4" fillId="0" borderId="26" xfId="23" applyFont="1" applyFill="1" applyBorder="1"/>
    <xf numFmtId="4" fontId="4" fillId="0" borderId="43" xfId="23" applyNumberFormat="1" applyFont="1" applyFill="1" applyBorder="1"/>
    <xf numFmtId="4" fontId="4" fillId="0" borderId="43" xfId="23" applyNumberFormat="1" applyFont="1" applyFill="1" applyBorder="1" applyAlignment="1">
      <alignment horizontal="center"/>
    </xf>
    <xf numFmtId="4" fontId="2" fillId="0" borderId="43" xfId="23" applyNumberFormat="1" applyFont="1" applyFill="1" applyBorder="1" applyAlignment="1">
      <alignment horizontal="right"/>
    </xf>
    <xf numFmtId="4" fontId="2" fillId="0" borderId="48" xfId="23" applyNumberFormat="1" applyFont="1" applyFill="1" applyBorder="1" applyAlignment="1">
      <alignment horizontal="right"/>
    </xf>
    <xf numFmtId="4" fontId="4" fillId="6" borderId="7" xfId="23" applyNumberFormat="1" applyFont="1" applyFill="1" applyBorder="1"/>
    <xf numFmtId="4" fontId="4" fillId="6" borderId="7" xfId="23" applyNumberFormat="1" applyFont="1" applyFill="1" applyBorder="1" applyAlignment="1">
      <alignment horizontal="centerContinuous"/>
    </xf>
    <xf numFmtId="43" fontId="4" fillId="6" borderId="0" xfId="51" applyFont="1" applyFill="1" applyBorder="1"/>
    <xf numFmtId="43" fontId="4" fillId="2" borderId="1" xfId="51" applyFont="1" applyFill="1" applyBorder="1"/>
    <xf numFmtId="39" fontId="4" fillId="6" borderId="1" xfId="23" applyNumberFormat="1" applyFont="1" applyFill="1" applyBorder="1" applyAlignment="1">
      <alignment horizontal="center"/>
    </xf>
    <xf numFmtId="169" fontId="4" fillId="2" borderId="1" xfId="52" applyNumberFormat="1" applyFont="1" applyFill="1" applyBorder="1" applyAlignment="1">
      <alignment horizontal="right"/>
    </xf>
    <xf numFmtId="2" fontId="4" fillId="6" borderId="19" xfId="23" applyNumberFormat="1" applyFont="1" applyFill="1" applyBorder="1" applyAlignment="1">
      <alignment horizontal="right"/>
    </xf>
    <xf numFmtId="39" fontId="4" fillId="2" borderId="1" xfId="23" applyNumberFormat="1" applyFont="1" applyFill="1" applyBorder="1" applyAlignment="1">
      <alignment horizontal="center"/>
    </xf>
    <xf numFmtId="169" fontId="4" fillId="2" borderId="1" xfId="52" applyNumberFormat="1" applyFont="1" applyFill="1" applyBorder="1"/>
    <xf numFmtId="2" fontId="4" fillId="6" borderId="19" xfId="23" applyNumberFormat="1" applyFont="1" applyFill="1" applyBorder="1"/>
    <xf numFmtId="43" fontId="4" fillId="6" borderId="24" xfId="51" applyFont="1" applyFill="1" applyBorder="1"/>
    <xf numFmtId="39" fontId="4" fillId="6" borderId="24" xfId="23" applyNumberFormat="1" applyFont="1" applyFill="1" applyBorder="1" applyAlignment="1">
      <alignment horizontal="center"/>
    </xf>
    <xf numFmtId="39" fontId="2" fillId="6" borderId="24" xfId="23" quotePrefix="1" applyNumberFormat="1" applyFont="1" applyFill="1" applyBorder="1" applyAlignment="1">
      <alignment horizontal="right"/>
    </xf>
    <xf numFmtId="169" fontId="2" fillId="6" borderId="25" xfId="53" applyNumberFormat="1" applyFont="1" applyFill="1" applyBorder="1" applyAlignment="1" applyProtection="1">
      <alignment horizontal="right" vertical="center"/>
    </xf>
    <xf numFmtId="0" fontId="4" fillId="6" borderId="0" xfId="16" applyFont="1" applyFill="1"/>
    <xf numFmtId="0" fontId="4" fillId="6" borderId="0" xfId="16" applyFont="1" applyFill="1" applyAlignment="1">
      <alignment horizontal="left"/>
    </xf>
    <xf numFmtId="43" fontId="4" fillId="2" borderId="15" xfId="51" applyFont="1" applyFill="1" applyBorder="1"/>
    <xf numFmtId="39" fontId="4" fillId="2" borderId="15" xfId="23" applyNumberFormat="1" applyFont="1" applyFill="1" applyBorder="1" applyAlignment="1">
      <alignment horizontal="center"/>
    </xf>
    <xf numFmtId="169" fontId="4" fillId="2" borderId="15" xfId="52" applyNumberFormat="1" applyFont="1" applyFill="1" applyBorder="1" applyAlignment="1">
      <alignment horizontal="right"/>
    </xf>
    <xf numFmtId="4" fontId="4" fillId="6" borderId="16" xfId="23" applyNumberFormat="1" applyFont="1" applyFill="1" applyBorder="1" applyAlignment="1">
      <alignment horizontal="right"/>
    </xf>
    <xf numFmtId="4" fontId="4" fillId="6" borderId="19" xfId="23" applyNumberFormat="1" applyFont="1" applyFill="1" applyBorder="1" applyAlignment="1">
      <alignment horizontal="right"/>
    </xf>
    <xf numFmtId="0" fontId="0" fillId="2" borderId="0" xfId="0" applyFill="1"/>
    <xf numFmtId="0" fontId="4" fillId="2" borderId="0" xfId="23" applyFont="1" applyFill="1"/>
    <xf numFmtId="0" fontId="4" fillId="6" borderId="0" xfId="23" applyFont="1" applyFill="1" applyAlignment="1">
      <alignment vertical="top"/>
    </xf>
    <xf numFmtId="0" fontId="2" fillId="2" borderId="0" xfId="0" applyFont="1" applyFill="1"/>
    <xf numFmtId="4" fontId="2" fillId="6" borderId="25" xfId="23" applyNumberFormat="1" applyFont="1" applyFill="1" applyBorder="1" applyAlignment="1">
      <alignment horizontal="right"/>
    </xf>
    <xf numFmtId="0" fontId="47" fillId="0" borderId="56" xfId="0" quotePrefix="1" applyFont="1" applyFill="1" applyBorder="1" applyAlignment="1">
      <alignment horizontal="left" vertical="center"/>
    </xf>
    <xf numFmtId="43" fontId="4" fillId="6" borderId="0" xfId="51" applyFont="1" applyFill="1" applyBorder="1" applyAlignment="1">
      <alignment horizontal="right" vertical="center"/>
    </xf>
    <xf numFmtId="0" fontId="4" fillId="6" borderId="0" xfId="28" applyFont="1" applyFill="1" applyBorder="1" applyAlignment="1" applyProtection="1">
      <alignment horizontal="center" vertical="center"/>
    </xf>
    <xf numFmtId="4" fontId="2" fillId="6" borderId="0" xfId="28" applyNumberFormat="1" applyFont="1" applyFill="1" applyBorder="1" applyAlignment="1" applyProtection="1">
      <alignment horizontal="right" vertical="center"/>
    </xf>
    <xf numFmtId="178" fontId="2" fillId="6" borderId="0" xfId="28" applyNumberFormat="1" applyFont="1" applyFill="1" applyBorder="1" applyAlignment="1" applyProtection="1">
      <alignment horizontal="right" vertical="center"/>
    </xf>
    <xf numFmtId="0" fontId="4" fillId="6" borderId="17" xfId="28" applyFont="1" applyFill="1" applyBorder="1" applyAlignment="1" applyProtection="1">
      <alignment horizontal="left" vertical="center"/>
    </xf>
    <xf numFmtId="43" fontId="4" fillId="6" borderId="1" xfId="51" applyFont="1" applyFill="1" applyBorder="1" applyAlignment="1">
      <alignment horizontal="right" vertical="center"/>
    </xf>
    <xf numFmtId="0" fontId="4" fillId="6" borderId="1" xfId="28" applyFont="1" applyFill="1" applyBorder="1" applyAlignment="1" applyProtection="1">
      <alignment horizontal="center" vertical="center"/>
    </xf>
    <xf numFmtId="4" fontId="4" fillId="6" borderId="1" xfId="28" applyNumberFormat="1" applyFont="1" applyFill="1" applyBorder="1" applyAlignment="1" applyProtection="1">
      <alignment horizontal="right" vertical="center"/>
    </xf>
    <xf numFmtId="4" fontId="4" fillId="6" borderId="19" xfId="28" applyNumberFormat="1" applyFont="1" applyFill="1" applyBorder="1" applyAlignment="1" applyProtection="1">
      <alignment horizontal="right" vertical="center"/>
    </xf>
    <xf numFmtId="0" fontId="4" fillId="6" borderId="0" xfId="54" applyFont="1" applyFill="1" applyBorder="1"/>
    <xf numFmtId="0" fontId="4" fillId="6" borderId="0" xfId="54" applyFont="1" applyFill="1" applyBorder="1" applyAlignment="1">
      <alignment horizontal="right"/>
    </xf>
    <xf numFmtId="4" fontId="2" fillId="6" borderId="0" xfId="54" applyNumberFormat="1" applyFont="1" applyFill="1" applyBorder="1" applyAlignment="1" applyProtection="1">
      <alignment horizontal="right"/>
    </xf>
    <xf numFmtId="0" fontId="43" fillId="0" borderId="56" xfId="0" quotePrefix="1" applyFont="1" applyFill="1" applyBorder="1" applyAlignment="1">
      <alignment horizontal="left" vertical="center"/>
    </xf>
    <xf numFmtId="0" fontId="2" fillId="6" borderId="0" xfId="28" applyFont="1" applyFill="1" applyBorder="1" applyAlignment="1" applyProtection="1">
      <alignment vertical="center"/>
    </xf>
    <xf numFmtId="4" fontId="2" fillId="6" borderId="0" xfId="28" applyNumberFormat="1" applyFont="1" applyFill="1" applyBorder="1" applyAlignment="1" applyProtection="1">
      <alignment vertical="center"/>
    </xf>
    <xf numFmtId="0" fontId="4" fillId="6" borderId="17" xfId="28" quotePrefix="1" applyFont="1" applyFill="1" applyBorder="1" applyAlignment="1" applyProtection="1">
      <alignment horizontal="left" vertical="center"/>
    </xf>
    <xf numFmtId="43" fontId="4" fillId="6" borderId="1" xfId="51" applyFont="1" applyFill="1" applyBorder="1" applyAlignment="1" applyProtection="1">
      <alignment horizontal="right" vertical="center"/>
    </xf>
    <xf numFmtId="187" fontId="4" fillId="6" borderId="1" xfId="28" applyNumberFormat="1" applyFont="1" applyFill="1" applyBorder="1" applyAlignment="1" applyProtection="1">
      <alignment horizontal="right" vertical="center"/>
    </xf>
    <xf numFmtId="187" fontId="4" fillId="6" borderId="19" xfId="28" applyNumberFormat="1" applyFont="1" applyFill="1" applyBorder="1" applyAlignment="1" applyProtection="1">
      <alignment horizontal="right" vertical="center"/>
    </xf>
    <xf numFmtId="187" fontId="2" fillId="6" borderId="0" xfId="28" applyNumberFormat="1" applyFont="1" applyFill="1" applyBorder="1" applyAlignment="1" applyProtection="1">
      <alignment vertical="center"/>
    </xf>
    <xf numFmtId="166" fontId="4" fillId="6" borderId="0" xfId="22" applyFont="1" applyFill="1" applyAlignment="1">
      <alignment vertical="top"/>
    </xf>
    <xf numFmtId="2" fontId="4" fillId="6" borderId="0" xfId="23" applyNumberFormat="1" applyFont="1" applyFill="1" applyBorder="1" applyAlignment="1">
      <alignment horizontal="left" vertical="top"/>
    </xf>
    <xf numFmtId="2" fontId="4" fillId="6" borderId="0" xfId="23" applyNumberFormat="1" applyFont="1" applyFill="1" applyAlignment="1">
      <alignment vertical="top"/>
    </xf>
    <xf numFmtId="4" fontId="6" fillId="6" borderId="19" xfId="24" applyNumberFormat="1" applyFont="1" applyFill="1" applyBorder="1" applyAlignment="1" applyProtection="1">
      <alignment horizontal="right" vertical="center"/>
      <protection locked="0"/>
    </xf>
    <xf numFmtId="43" fontId="4" fillId="6" borderId="15" xfId="51" applyFont="1" applyFill="1" applyBorder="1"/>
    <xf numFmtId="39" fontId="4" fillId="6" borderId="15" xfId="23" applyNumberFormat="1" applyFont="1" applyFill="1" applyBorder="1" applyAlignment="1">
      <alignment horizontal="center"/>
    </xf>
    <xf numFmtId="169" fontId="4" fillId="6" borderId="15" xfId="52" applyNumberFormat="1" applyFont="1" applyFill="1" applyBorder="1" applyAlignment="1">
      <alignment horizontal="right"/>
    </xf>
    <xf numFmtId="43" fontId="4" fillId="6" borderId="1" xfId="51" applyFont="1" applyFill="1" applyBorder="1"/>
    <xf numFmtId="169" fontId="4" fillId="6" borderId="1" xfId="52" applyNumberFormat="1" applyFont="1" applyFill="1" applyBorder="1" applyAlignment="1">
      <alignment horizontal="center"/>
    </xf>
    <xf numFmtId="4" fontId="5" fillId="6" borderId="0" xfId="24" applyNumberFormat="1" applyFont="1" applyFill="1"/>
    <xf numFmtId="0" fontId="42" fillId="0" borderId="0" xfId="23" applyFont="1" applyFill="1" applyBorder="1"/>
    <xf numFmtId="4" fontId="42" fillId="0" borderId="0" xfId="23" applyNumberFormat="1" applyFont="1" applyFill="1"/>
    <xf numFmtId="0" fontId="7" fillId="0" borderId="22" xfId="23" applyFont="1" applyFill="1" applyBorder="1"/>
    <xf numFmtId="4" fontId="7" fillId="0" borderId="15" xfId="23" applyNumberFormat="1" applyFont="1" applyFill="1" applyBorder="1"/>
    <xf numFmtId="4" fontId="7" fillId="0" borderId="15" xfId="23" applyNumberFormat="1" applyFont="1" applyFill="1" applyBorder="1" applyAlignment="1">
      <alignment horizontal="centerContinuous"/>
    </xf>
    <xf numFmtId="4" fontId="7" fillId="0" borderId="16" xfId="23" applyNumberFormat="1" applyFont="1" applyFill="1" applyBorder="1"/>
    <xf numFmtId="0" fontId="7" fillId="0" borderId="17" xfId="23" applyFont="1" applyFill="1" applyBorder="1"/>
    <xf numFmtId="4" fontId="7" fillId="0" borderId="1" xfId="23" applyNumberFormat="1" applyFont="1" applyFill="1" applyBorder="1"/>
    <xf numFmtId="4" fontId="7" fillId="0" borderId="1" xfId="23" applyNumberFormat="1" applyFont="1" applyFill="1" applyBorder="1" applyAlignment="1">
      <alignment horizontal="centerContinuous"/>
    </xf>
    <xf numFmtId="4" fontId="7" fillId="0" borderId="19" xfId="23" applyNumberFormat="1" applyFont="1" applyFill="1" applyBorder="1"/>
    <xf numFmtId="0" fontId="7" fillId="0" borderId="23" xfId="23" applyFont="1" applyFill="1" applyBorder="1"/>
    <xf numFmtId="4" fontId="7" fillId="0" borderId="24" xfId="23" applyNumberFormat="1" applyFont="1" applyFill="1" applyBorder="1"/>
    <xf numFmtId="4" fontId="42" fillId="0" borderId="24" xfId="23" applyNumberFormat="1" applyFont="1" applyFill="1" applyBorder="1" applyAlignment="1">
      <alignment horizontal="right"/>
    </xf>
    <xf numFmtId="4" fontId="43" fillId="0" borderId="25" xfId="23" applyNumberFormat="1" applyFont="1" applyFill="1" applyBorder="1" applyAlignment="1">
      <alignment horizontal="right"/>
    </xf>
    <xf numFmtId="0" fontId="4" fillId="0" borderId="0" xfId="49" applyFont="1" applyFill="1" applyBorder="1"/>
    <xf numFmtId="4" fontId="4" fillId="0" borderId="0" xfId="49" applyNumberFormat="1" applyFont="1" applyFill="1" applyBorder="1"/>
    <xf numFmtId="4" fontId="42" fillId="0" borderId="0" xfId="23" applyNumberFormat="1" applyFont="1" applyFill="1" applyAlignment="1">
      <alignment horizontal="center"/>
    </xf>
    <xf numFmtId="0" fontId="7" fillId="0" borderId="13" xfId="23" applyFont="1" applyFill="1" applyBorder="1"/>
    <xf numFmtId="4" fontId="7" fillId="0" borderId="29" xfId="23" applyNumberFormat="1" applyFont="1" applyFill="1" applyBorder="1" applyAlignment="1">
      <alignment horizontal="center"/>
    </xf>
    <xf numFmtId="4" fontId="7" fillId="0" borderId="21" xfId="23" applyNumberFormat="1" applyFont="1" applyFill="1" applyBorder="1"/>
    <xf numFmtId="0" fontId="7" fillId="0" borderId="42" xfId="23" applyFont="1" applyFill="1" applyBorder="1"/>
    <xf numFmtId="4" fontId="7" fillId="0" borderId="2" xfId="23" applyNumberFormat="1" applyFont="1" applyFill="1" applyBorder="1"/>
    <xf numFmtId="4" fontId="7" fillId="0" borderId="2" xfId="23" applyNumberFormat="1" applyFont="1" applyFill="1" applyBorder="1" applyAlignment="1">
      <alignment horizontal="center"/>
    </xf>
    <xf numFmtId="4" fontId="7" fillId="0" borderId="46" xfId="23" applyNumberFormat="1" applyFont="1" applyFill="1" applyBorder="1"/>
    <xf numFmtId="0" fontId="7" fillId="0" borderId="26" xfId="23" applyFont="1" applyFill="1" applyBorder="1"/>
    <xf numFmtId="4" fontId="7" fillId="0" borderId="43" xfId="23" applyNumberFormat="1" applyFont="1" applyFill="1" applyBorder="1"/>
    <xf numFmtId="4" fontId="7" fillId="0" borderId="43" xfId="23" applyNumberFormat="1" applyFont="1" applyFill="1" applyBorder="1" applyAlignment="1">
      <alignment horizontal="center"/>
    </xf>
    <xf numFmtId="4" fontId="42" fillId="0" borderId="43" xfId="23" applyNumberFormat="1" applyFont="1" applyFill="1" applyBorder="1" applyAlignment="1">
      <alignment horizontal="right"/>
    </xf>
    <xf numFmtId="4" fontId="42" fillId="0" borderId="48" xfId="23" applyNumberFormat="1" applyFont="1" applyFill="1" applyBorder="1" applyAlignment="1">
      <alignment horizontal="right"/>
    </xf>
    <xf numFmtId="0" fontId="7" fillId="0" borderId="0" xfId="23" applyFont="1" applyFill="1" applyBorder="1"/>
    <xf numFmtId="4" fontId="7" fillId="0" borderId="0" xfId="23" applyNumberFormat="1" applyFont="1" applyFill="1" applyBorder="1"/>
    <xf numFmtId="4" fontId="7" fillId="0" borderId="0" xfId="23" applyNumberFormat="1" applyFont="1" applyFill="1" applyBorder="1" applyAlignment="1">
      <alignment horizontal="center"/>
    </xf>
    <xf numFmtId="4" fontId="42" fillId="0" borderId="0" xfId="23" applyNumberFormat="1" applyFont="1" applyFill="1" applyBorder="1" applyAlignment="1">
      <alignment horizontal="right"/>
    </xf>
    <xf numFmtId="0" fontId="43" fillId="0" borderId="0" xfId="23" applyFont="1" applyFill="1"/>
    <xf numFmtId="4" fontId="25" fillId="0" borderId="0" xfId="23" applyNumberFormat="1" applyFont="1" applyFill="1"/>
    <xf numFmtId="4" fontId="25" fillId="0" borderId="15" xfId="23" applyNumberFormat="1" applyFont="1" applyFill="1" applyBorder="1"/>
    <xf numFmtId="4" fontId="25" fillId="0" borderId="15" xfId="23" applyNumberFormat="1" applyFont="1" applyFill="1" applyBorder="1" applyAlignment="1">
      <alignment horizontal="centerContinuous"/>
    </xf>
    <xf numFmtId="4" fontId="25" fillId="0" borderId="16" xfId="23" applyNumberFormat="1" applyFont="1" applyFill="1" applyBorder="1"/>
    <xf numFmtId="0" fontId="25" fillId="0" borderId="17" xfId="23" applyFont="1" applyFill="1" applyBorder="1"/>
    <xf numFmtId="4" fontId="25" fillId="0" borderId="1" xfId="23" applyNumberFormat="1" applyFont="1" applyFill="1" applyBorder="1"/>
    <xf numFmtId="4" fontId="25" fillId="0" borderId="1" xfId="23" applyNumberFormat="1" applyFont="1" applyFill="1" applyBorder="1" applyAlignment="1">
      <alignment horizontal="centerContinuous"/>
    </xf>
    <xf numFmtId="4" fontId="25" fillId="0" borderId="19" xfId="23" applyNumberFormat="1" applyFont="1" applyFill="1" applyBorder="1"/>
    <xf numFmtId="4" fontId="25" fillId="0" borderId="1" xfId="23" applyNumberFormat="1" applyFont="1" applyFill="1" applyBorder="1" applyAlignment="1">
      <alignment horizontal="center"/>
    </xf>
    <xf numFmtId="4" fontId="44" fillId="0" borderId="1" xfId="23" applyNumberFormat="1" applyFont="1" applyFill="1" applyBorder="1"/>
    <xf numFmtId="0" fontId="25" fillId="0" borderId="23" xfId="23" applyFont="1" applyFill="1" applyBorder="1"/>
    <xf numFmtId="4" fontId="25" fillId="0" borderId="24" xfId="23" applyNumberFormat="1" applyFont="1" applyFill="1" applyBorder="1"/>
    <xf numFmtId="4" fontId="43" fillId="0" borderId="24" xfId="23" applyNumberFormat="1" applyFont="1" applyFill="1" applyBorder="1" applyAlignment="1">
      <alignment horizontal="right"/>
    </xf>
    <xf numFmtId="0" fontId="43" fillId="0" borderId="0" xfId="23" applyFont="1" applyFill="1" applyAlignment="1"/>
    <xf numFmtId="4" fontId="43" fillId="0" borderId="0" xfId="23" applyNumberFormat="1" applyFont="1" applyFill="1" applyAlignment="1">
      <alignment horizontal="centerContinuous"/>
    </xf>
    <xf numFmtId="4" fontId="2" fillId="0" borderId="0" xfId="49" applyNumberFormat="1" applyFont="1" applyFill="1" applyBorder="1" applyAlignment="1">
      <alignment horizontal="right"/>
    </xf>
    <xf numFmtId="4" fontId="2" fillId="0" borderId="0" xfId="49" applyNumberFormat="1" applyFont="1" applyFill="1" applyBorder="1"/>
    <xf numFmtId="0" fontId="45" fillId="0" borderId="0" xfId="49" applyFont="1" applyFill="1" applyBorder="1" applyAlignment="1">
      <alignment horizontal="left"/>
    </xf>
    <xf numFmtId="4" fontId="45" fillId="0" borderId="0" xfId="49" applyNumberFormat="1" applyFont="1" applyFill="1" applyBorder="1"/>
    <xf numFmtId="4" fontId="45" fillId="0" borderId="0" xfId="49" applyNumberFormat="1" applyFont="1" applyFill="1" applyBorder="1" applyAlignment="1">
      <alignment horizontal="center"/>
    </xf>
    <xf numFmtId="4" fontId="45" fillId="0" borderId="0" xfId="49" applyNumberFormat="1" applyFont="1" applyFill="1" applyBorder="1" applyAlignment="1"/>
    <xf numFmtId="0" fontId="4" fillId="0" borderId="0" xfId="0" applyFont="1" applyFill="1" applyBorder="1" applyAlignment="1">
      <alignment horizontal="left"/>
    </xf>
    <xf numFmtId="4" fontId="4" fillId="0" borderId="0" xfId="50" applyNumberFormat="1" applyFont="1" applyFill="1" applyBorder="1"/>
    <xf numFmtId="4" fontId="4" fillId="0" borderId="0" xfId="50" applyNumberFormat="1" applyFont="1" applyFill="1" applyBorder="1" applyAlignment="1">
      <alignment horizontal="centerContinuous"/>
    </xf>
    <xf numFmtId="4" fontId="7" fillId="0" borderId="35" xfId="23" applyNumberFormat="1" applyFont="1" applyFill="1" applyBorder="1"/>
    <xf numFmtId="0" fontId="7" fillId="0" borderId="42" xfId="23" quotePrefix="1" applyFont="1" applyFill="1" applyBorder="1"/>
    <xf numFmtId="0" fontId="3" fillId="0" borderId="0" xfId="3" applyFont="1" applyFill="1" applyAlignment="1">
      <alignment vertical="center"/>
    </xf>
    <xf numFmtId="174" fontId="4" fillId="2" borderId="5" xfId="4" applyNumberFormat="1" applyFont="1" applyFill="1" applyBorder="1" applyAlignment="1" applyProtection="1">
      <alignment horizontal="right" vertical="center"/>
    </xf>
    <xf numFmtId="179" fontId="5" fillId="0" borderId="57" xfId="0" applyNumberFormat="1" applyFont="1" applyFill="1" applyBorder="1" applyAlignment="1" applyProtection="1">
      <alignment horizontal="right" vertical="top"/>
    </xf>
    <xf numFmtId="0" fontId="25" fillId="8" borderId="0" xfId="23" applyFont="1" applyFill="1" applyBorder="1"/>
    <xf numFmtId="4" fontId="25" fillId="8" borderId="0" xfId="23" applyNumberFormat="1" applyFont="1" applyFill="1" applyBorder="1"/>
    <xf numFmtId="4" fontId="43" fillId="8" borderId="0" xfId="23" applyNumberFormat="1" applyFont="1" applyFill="1" applyBorder="1" applyAlignment="1">
      <alignment horizontal="right"/>
    </xf>
    <xf numFmtId="179" fontId="5" fillId="0" borderId="2" xfId="0" applyNumberFormat="1" applyFont="1" applyFill="1" applyBorder="1" applyAlignment="1" applyProtection="1">
      <alignment horizontal="right" vertical="top"/>
    </xf>
    <xf numFmtId="4" fontId="12" fillId="0" borderId="0" xfId="0" applyNumberFormat="1" applyFont="1" applyFill="1" applyBorder="1"/>
    <xf numFmtId="4" fontId="9" fillId="0" borderId="0" xfId="0" applyNumberFormat="1" applyFont="1" applyFill="1" applyBorder="1"/>
    <xf numFmtId="0" fontId="9" fillId="0" borderId="0" xfId="0" applyFont="1" applyFill="1" applyBorder="1"/>
    <xf numFmtId="179" fontId="5" fillId="2" borderId="4" xfId="0" applyNumberFormat="1" applyFont="1" applyFill="1" applyBorder="1" applyAlignment="1" applyProtection="1">
      <alignment horizontal="right" vertical="top"/>
    </xf>
    <xf numFmtId="179" fontId="6" fillId="2" borderId="4" xfId="0" applyNumberFormat="1" applyFont="1" applyFill="1" applyBorder="1" applyAlignment="1" applyProtection="1">
      <alignment horizontal="right" vertical="top"/>
    </xf>
    <xf numFmtId="179" fontId="5" fillId="2" borderId="57" xfId="0" applyNumberFormat="1" applyFont="1" applyFill="1" applyBorder="1" applyAlignment="1" applyProtection="1">
      <alignment horizontal="right" vertical="top"/>
    </xf>
    <xf numFmtId="43" fontId="4" fillId="0" borderId="0" xfId="20" applyFont="1" applyFill="1" applyBorder="1" applyAlignment="1">
      <alignment horizontal="right" vertical="top" wrapText="1"/>
    </xf>
    <xf numFmtId="43" fontId="4" fillId="0" borderId="0" xfId="20" applyFont="1" applyFill="1" applyBorder="1" applyAlignment="1">
      <alignment horizontal="right" wrapText="1"/>
    </xf>
    <xf numFmtId="39" fontId="3" fillId="2" borderId="2" xfId="19" applyNumberFormat="1" applyFont="1" applyFill="1" applyBorder="1" applyAlignment="1" applyProtection="1">
      <alignment vertical="center" wrapText="1"/>
      <protection locked="0"/>
    </xf>
    <xf numFmtId="0" fontId="4" fillId="2" borderId="0" xfId="18" applyNumberFormat="1" applyFont="1" applyFill="1" applyBorder="1" applyAlignment="1">
      <alignment horizontal="left" vertical="top"/>
    </xf>
    <xf numFmtId="0" fontId="4" fillId="2" borderId="0" xfId="11" applyFont="1" applyFill="1" applyBorder="1" applyAlignment="1">
      <alignment horizontal="center" vertical="top" wrapText="1"/>
    </xf>
    <xf numFmtId="40" fontId="4" fillId="2" borderId="0" xfId="19" applyNumberFormat="1" applyFont="1" applyFill="1" applyBorder="1" applyAlignment="1" applyProtection="1">
      <alignment horizontal="right" vertical="center" wrapText="1"/>
    </xf>
    <xf numFmtId="43" fontId="3" fillId="0" borderId="0" xfId="3" applyNumberFormat="1" applyFont="1" applyBorder="1" applyAlignment="1">
      <alignment vertical="center"/>
    </xf>
    <xf numFmtId="0" fontId="3" fillId="0" borderId="0" xfId="3" applyFont="1" applyBorder="1" applyAlignment="1">
      <alignment vertical="center"/>
    </xf>
    <xf numFmtId="4" fontId="3" fillId="0" borderId="0" xfId="3" applyNumberFormat="1" applyFont="1" applyBorder="1" applyAlignment="1">
      <alignment vertical="center"/>
    </xf>
    <xf numFmtId="4" fontId="5" fillId="2" borderId="0" xfId="0" applyNumberFormat="1" applyFont="1" applyFill="1" applyBorder="1" applyAlignment="1"/>
    <xf numFmtId="4" fontId="0" fillId="0" borderId="0" xfId="0" applyNumberFormat="1" applyBorder="1" applyAlignment="1">
      <alignment vertical="top"/>
    </xf>
    <xf numFmtId="0" fontId="0" fillId="0" borderId="0" xfId="0" applyBorder="1" applyAlignment="1">
      <alignment vertical="top"/>
    </xf>
    <xf numFmtId="4" fontId="3" fillId="0" borderId="0" xfId="3" applyNumberFormat="1" applyFont="1" applyFill="1" applyBorder="1" applyAlignment="1">
      <alignment vertical="center"/>
    </xf>
    <xf numFmtId="0" fontId="3" fillId="0" borderId="4" xfId="3" applyFont="1" applyBorder="1" applyAlignment="1">
      <alignment vertical="center"/>
    </xf>
    <xf numFmtId="0" fontId="3" fillId="0" borderId="4" xfId="3" applyFont="1" applyFill="1" applyBorder="1" applyAlignment="1">
      <alignment vertical="center"/>
    </xf>
    <xf numFmtId="167" fontId="2" fillId="2" borderId="0" xfId="2" applyNumberFormat="1" applyFont="1" applyFill="1" applyBorder="1" applyAlignment="1" applyProtection="1">
      <alignment horizontal="center" vertical="center" wrapText="1"/>
      <protection locked="0"/>
    </xf>
    <xf numFmtId="167" fontId="4" fillId="2" borderId="0" xfId="2" applyNumberFormat="1" applyFont="1" applyFill="1" applyBorder="1" applyAlignment="1" applyProtection="1">
      <alignment horizontal="left" vertical="top"/>
      <protection locked="0"/>
    </xf>
    <xf numFmtId="166" fontId="4" fillId="2" borderId="0" xfId="2" applyFont="1" applyFill="1" applyBorder="1" applyAlignment="1" applyProtection="1">
      <alignment horizontal="center" vertical="center"/>
      <protection locked="0"/>
    </xf>
    <xf numFmtId="0" fontId="4" fillId="2" borderId="0" xfId="3" applyFont="1" applyFill="1" applyBorder="1" applyAlignment="1" applyProtection="1">
      <alignment vertical="center" wrapText="1"/>
      <protection locked="0"/>
    </xf>
    <xf numFmtId="166" fontId="2" fillId="3" borderId="1" xfId="2" applyFont="1" applyFill="1" applyBorder="1" applyAlignment="1" applyProtection="1">
      <alignment horizontal="center" vertical="center"/>
      <protection locked="0"/>
    </xf>
    <xf numFmtId="166" fontId="4" fillId="2" borderId="2" xfId="2" applyFont="1" applyFill="1" applyBorder="1" applyAlignment="1" applyProtection="1">
      <alignment vertical="center"/>
      <protection locked="0"/>
    </xf>
    <xf numFmtId="4" fontId="4" fillId="2" borderId="2" xfId="2" applyNumberFormat="1" applyFont="1" applyFill="1" applyBorder="1" applyAlignment="1" applyProtection="1">
      <alignment horizontal="right" vertical="center" wrapText="1"/>
      <protection locked="0"/>
    </xf>
    <xf numFmtId="4" fontId="4" fillId="2" borderId="2" xfId="2" applyNumberFormat="1" applyFont="1" applyFill="1" applyBorder="1" applyAlignment="1" applyProtection="1">
      <alignment horizontal="right" vertical="top" wrapText="1"/>
      <protection locked="0"/>
    </xf>
    <xf numFmtId="43" fontId="2" fillId="2" borderId="2" xfId="5" applyNumberFormat="1" applyFont="1" applyFill="1" applyBorder="1" applyAlignment="1" applyProtection="1">
      <alignment horizontal="center" vertical="top"/>
      <protection locked="0"/>
    </xf>
    <xf numFmtId="4" fontId="4" fillId="2" borderId="2" xfId="7" applyNumberFormat="1" applyFont="1" applyFill="1" applyBorder="1" applyAlignment="1" applyProtection="1">
      <alignment horizontal="right" vertical="top" wrapText="1"/>
      <protection locked="0"/>
    </xf>
    <xf numFmtId="43" fontId="4" fillId="2" borderId="2" xfId="20" applyFont="1" applyFill="1" applyBorder="1" applyAlignment="1" applyProtection="1">
      <alignment vertical="top" wrapText="1"/>
      <protection locked="0"/>
    </xf>
    <xf numFmtId="4" fontId="4" fillId="2" borderId="4" xfId="7" applyNumberFormat="1" applyFont="1" applyFill="1" applyBorder="1" applyAlignment="1" applyProtection="1">
      <alignment horizontal="right" vertical="top" wrapText="1"/>
      <protection locked="0"/>
    </xf>
    <xf numFmtId="4" fontId="4" fillId="2" borderId="2" xfId="8" applyNumberFormat="1" applyFont="1" applyFill="1" applyBorder="1" applyAlignment="1" applyProtection="1">
      <alignment horizontal="right" vertical="top" wrapText="1"/>
      <protection locked="0"/>
    </xf>
    <xf numFmtId="4" fontId="4" fillId="2" borderId="2" xfId="7" applyNumberFormat="1" applyFont="1" applyFill="1" applyBorder="1" applyAlignment="1" applyProtection="1">
      <alignment horizontal="right" vertical="center" wrapText="1"/>
      <protection locked="0"/>
    </xf>
    <xf numFmtId="4" fontId="3" fillId="2" borderId="2" xfId="7" applyNumberFormat="1" applyFont="1" applyFill="1" applyBorder="1" applyAlignment="1" applyProtection="1">
      <alignment horizontal="right" vertical="center" wrapText="1"/>
      <protection locked="0"/>
    </xf>
    <xf numFmtId="4" fontId="3" fillId="2" borderId="4" xfId="7" applyNumberFormat="1" applyFont="1" applyFill="1" applyBorder="1" applyAlignment="1" applyProtection="1">
      <alignment vertical="top"/>
      <protection locked="0"/>
    </xf>
    <xf numFmtId="4" fontId="4" fillId="2" borderId="2" xfId="5" applyNumberFormat="1" applyFont="1" applyFill="1" applyBorder="1" applyAlignment="1" applyProtection="1">
      <alignment horizontal="right" vertical="top"/>
      <protection locked="0"/>
    </xf>
    <xf numFmtId="4" fontId="4" fillId="2" borderId="2" xfId="8" applyNumberFormat="1" applyFont="1" applyFill="1" applyBorder="1" applyAlignment="1" applyProtection="1">
      <alignment horizontal="right" vertical="center" wrapText="1"/>
      <protection locked="0"/>
    </xf>
    <xf numFmtId="4" fontId="4" fillId="2" borderId="2" xfId="4" applyNumberFormat="1" applyFont="1" applyFill="1" applyBorder="1" applyAlignment="1" applyProtection="1">
      <alignment horizontal="right" vertical="top" wrapText="1"/>
      <protection locked="0"/>
    </xf>
    <xf numFmtId="4" fontId="4" fillId="2" borderId="2" xfId="4" applyNumberFormat="1" applyFont="1" applyFill="1" applyBorder="1" applyAlignment="1" applyProtection="1">
      <alignment vertical="top"/>
      <protection locked="0"/>
    </xf>
    <xf numFmtId="4" fontId="4" fillId="2" borderId="2" xfId="4" applyNumberFormat="1" applyFont="1" applyFill="1" applyBorder="1" applyAlignment="1" applyProtection="1">
      <alignment vertical="center"/>
      <protection locked="0"/>
    </xf>
    <xf numFmtId="4" fontId="4" fillId="2" borderId="5" xfId="4" applyNumberFormat="1" applyFont="1" applyFill="1" applyBorder="1" applyAlignment="1" applyProtection="1">
      <alignment vertical="top"/>
      <protection locked="0"/>
    </xf>
    <xf numFmtId="4" fontId="2" fillId="2" borderId="2" xfId="4" applyNumberFormat="1" applyFont="1" applyFill="1" applyBorder="1" applyAlignment="1" applyProtection="1">
      <alignment vertical="top"/>
      <protection locked="0"/>
    </xf>
    <xf numFmtId="4" fontId="4" fillId="2" borderId="2" xfId="4" applyNumberFormat="1" applyFont="1" applyFill="1" applyBorder="1" applyAlignment="1" applyProtection="1">
      <alignment horizontal="right" vertical="center" wrapText="1"/>
      <protection locked="0"/>
    </xf>
    <xf numFmtId="4" fontId="3" fillId="2" borderId="2" xfId="4" applyNumberFormat="1" applyFont="1" applyFill="1" applyBorder="1" applyAlignment="1" applyProtection="1">
      <alignment horizontal="right" vertical="top" wrapText="1"/>
      <protection locked="0"/>
    </xf>
    <xf numFmtId="4" fontId="5" fillId="0" borderId="2" xfId="0" applyNumberFormat="1" applyFont="1" applyFill="1" applyBorder="1" applyAlignment="1" applyProtection="1">
      <protection locked="0"/>
    </xf>
    <xf numFmtId="4" fontId="4" fillId="2" borderId="2" xfId="0" applyNumberFormat="1" applyFont="1" applyFill="1" applyBorder="1" applyAlignment="1" applyProtection="1">
      <protection locked="0"/>
    </xf>
    <xf numFmtId="4" fontId="5" fillId="2" borderId="2" xfId="0" applyNumberFormat="1" applyFont="1" applyFill="1" applyBorder="1" applyAlignment="1" applyProtection="1">
      <protection locked="0"/>
    </xf>
    <xf numFmtId="4" fontId="4" fillId="2" borderId="5" xfId="0" applyNumberFormat="1" applyFont="1" applyFill="1" applyBorder="1" applyAlignment="1" applyProtection="1">
      <protection locked="0"/>
    </xf>
    <xf numFmtId="4" fontId="5" fillId="0" borderId="2" xfId="0" applyNumberFormat="1" applyFont="1" applyFill="1" applyBorder="1" applyAlignment="1" applyProtection="1">
      <alignment vertical="top"/>
      <protection locked="0"/>
    </xf>
    <xf numFmtId="4" fontId="12" fillId="0" borderId="2" xfId="0" applyNumberFormat="1" applyFont="1" applyFill="1" applyBorder="1" applyAlignment="1" applyProtection="1">
      <protection locked="0"/>
    </xf>
    <xf numFmtId="4" fontId="4" fillId="0" borderId="2" xfId="0" applyNumberFormat="1" applyFont="1" applyFill="1" applyBorder="1" applyAlignment="1" applyProtection="1">
      <protection locked="0"/>
    </xf>
    <xf numFmtId="43" fontId="4" fillId="0" borderId="2" xfId="20" applyFont="1" applyFill="1" applyBorder="1" applyAlignment="1" applyProtection="1">
      <alignment horizontal="right" wrapText="1"/>
      <protection locked="0"/>
    </xf>
    <xf numFmtId="43" fontId="4" fillId="0" borderId="2" xfId="20" applyFont="1" applyFill="1" applyBorder="1" applyAlignment="1" applyProtection="1">
      <alignment wrapText="1"/>
      <protection locked="0"/>
    </xf>
    <xf numFmtId="43" fontId="4" fillId="2" borderId="2" xfId="20" applyFont="1" applyFill="1" applyBorder="1" applyAlignment="1" applyProtection="1">
      <alignment horizontal="right" vertical="top" wrapText="1"/>
      <protection locked="0"/>
    </xf>
    <xf numFmtId="43" fontId="4" fillId="2" borderId="2" xfId="20" applyFont="1" applyFill="1" applyBorder="1" applyAlignment="1" applyProtection="1">
      <alignment horizontal="right" wrapText="1"/>
      <protection locked="0"/>
    </xf>
    <xf numFmtId="43" fontId="4" fillId="2" borderId="2" xfId="20" applyFont="1" applyFill="1" applyBorder="1" applyAlignment="1" applyProtection="1">
      <alignment wrapText="1"/>
      <protection locked="0"/>
    </xf>
    <xf numFmtId="43" fontId="4" fillId="2" borderId="2" xfId="20" applyFont="1" applyFill="1" applyBorder="1" applyAlignment="1" applyProtection="1">
      <alignment horizontal="right" vertical="center" wrapText="1"/>
      <protection locked="0"/>
    </xf>
    <xf numFmtId="43" fontId="4" fillId="0" borderId="2" xfId="20" applyFont="1" applyFill="1" applyBorder="1" applyAlignment="1" applyProtection="1">
      <alignment horizontal="right" vertical="top" wrapText="1"/>
      <protection locked="0"/>
    </xf>
    <xf numFmtId="43" fontId="4" fillId="0" borderId="5" xfId="20" applyFont="1" applyFill="1" applyBorder="1" applyAlignment="1" applyProtection="1">
      <alignment wrapText="1"/>
      <protection locked="0"/>
    </xf>
    <xf numFmtId="43" fontId="4" fillId="0" borderId="2" xfId="20" applyFont="1" applyFill="1" applyBorder="1" applyAlignment="1" applyProtection="1">
      <alignment horizontal="right" vertical="center" wrapText="1"/>
      <protection locked="0"/>
    </xf>
    <xf numFmtId="43" fontId="4" fillId="2" borderId="2" xfId="20" applyFont="1" applyFill="1" applyBorder="1" applyProtection="1">
      <protection locked="0"/>
    </xf>
    <xf numFmtId="4" fontId="4" fillId="4" borderId="2" xfId="4" applyNumberFormat="1" applyFont="1" applyFill="1" applyBorder="1" applyAlignment="1" applyProtection="1">
      <alignment horizontal="right" vertical="top" wrapText="1"/>
      <protection locked="0"/>
    </xf>
    <xf numFmtId="4" fontId="4" fillId="2" borderId="5" xfId="4" applyNumberFormat="1" applyFont="1" applyFill="1" applyBorder="1" applyAlignment="1" applyProtection="1">
      <alignment vertical="center"/>
      <protection locked="0"/>
    </xf>
    <xf numFmtId="4" fontId="5" fillId="2" borderId="5" xfId="0" applyNumberFormat="1" applyFont="1" applyFill="1" applyBorder="1" applyAlignment="1" applyProtection="1">
      <protection locked="0"/>
    </xf>
    <xf numFmtId="2" fontId="4" fillId="0" borderId="2" xfId="22" applyNumberFormat="1" applyFont="1" applyFill="1" applyBorder="1" applyAlignment="1" applyProtection="1">
      <alignment wrapText="1"/>
      <protection locked="0"/>
    </xf>
    <xf numFmtId="2" fontId="4" fillId="5" borderId="2" xfId="4" applyNumberFormat="1" applyFont="1" applyFill="1" applyBorder="1" applyAlignment="1" applyProtection="1">
      <alignment vertical="top"/>
      <protection locked="0"/>
    </xf>
    <xf numFmtId="4" fontId="4" fillId="4" borderId="5" xfId="4" applyNumberFormat="1" applyFont="1" applyFill="1" applyBorder="1" applyAlignment="1" applyProtection="1">
      <alignment horizontal="right" vertical="top" wrapText="1"/>
      <protection locked="0"/>
    </xf>
    <xf numFmtId="2" fontId="4" fillId="2" borderId="2" xfId="4" applyNumberFormat="1" applyFont="1" applyFill="1" applyBorder="1" applyAlignment="1" applyProtection="1">
      <alignment vertical="top"/>
      <protection locked="0"/>
    </xf>
    <xf numFmtId="166" fontId="4" fillId="2" borderId="2" xfId="15" applyFont="1" applyFill="1" applyBorder="1" applyAlignment="1" applyProtection="1">
      <alignment horizontal="right" vertical="top" wrapText="1"/>
      <protection locked="0"/>
    </xf>
    <xf numFmtId="166" fontId="4" fillId="2" borderId="2" xfId="15" applyFont="1" applyFill="1" applyBorder="1" applyAlignment="1" applyProtection="1">
      <alignment horizontal="right" vertical="center" wrapText="1"/>
      <protection locked="0"/>
    </xf>
    <xf numFmtId="166" fontId="4" fillId="4" borderId="5" xfId="15" applyFont="1" applyFill="1" applyBorder="1" applyAlignment="1" applyProtection="1">
      <alignment vertical="top"/>
      <protection locked="0"/>
    </xf>
    <xf numFmtId="4" fontId="2" fillId="5" borderId="8" xfId="9" applyNumberFormat="1" applyFont="1" applyFill="1" applyBorder="1" applyAlignment="1" applyProtection="1">
      <alignment horizontal="right" vertical="top" wrapText="1"/>
      <protection locked="0"/>
    </xf>
    <xf numFmtId="4" fontId="2" fillId="2" borderId="2" xfId="16" applyNumberFormat="1" applyFont="1" applyFill="1" applyBorder="1" applyAlignment="1" applyProtection="1">
      <alignment horizontal="right" vertical="top" wrapText="1"/>
      <protection locked="0"/>
    </xf>
    <xf numFmtId="171" fontId="2" fillId="2" borderId="3" xfId="17" applyNumberFormat="1" applyFont="1" applyFill="1" applyBorder="1" applyAlignment="1" applyProtection="1">
      <alignment horizontal="right" vertical="top" wrapText="1"/>
      <protection locked="0"/>
    </xf>
    <xf numFmtId="4" fontId="4" fillId="4" borderId="5" xfId="2" applyNumberFormat="1" applyFont="1" applyFill="1" applyBorder="1" applyAlignment="1" applyProtection="1">
      <alignment horizontal="right" vertical="center" wrapText="1"/>
      <protection locked="0"/>
    </xf>
    <xf numFmtId="4" fontId="2" fillId="5" borderId="5" xfId="9" applyNumberFormat="1" applyFont="1" applyFill="1" applyBorder="1" applyAlignment="1" applyProtection="1">
      <alignment horizontal="right" vertical="top" wrapText="1"/>
      <protection locked="0"/>
    </xf>
    <xf numFmtId="166" fontId="9" fillId="4" borderId="5" xfId="2" applyFont="1" applyFill="1" applyBorder="1" applyAlignment="1" applyProtection="1">
      <alignment vertical="center"/>
      <protection locked="0"/>
    </xf>
    <xf numFmtId="166" fontId="9" fillId="2" borderId="2" xfId="2" applyFont="1" applyFill="1" applyBorder="1" applyAlignment="1" applyProtection="1">
      <alignment vertical="top"/>
      <protection locked="0"/>
    </xf>
    <xf numFmtId="166" fontId="4" fillId="2" borderId="2" xfId="2" applyFont="1" applyFill="1" applyBorder="1" applyAlignment="1" applyProtection="1">
      <alignment vertical="top"/>
      <protection locked="0"/>
    </xf>
    <xf numFmtId="4" fontId="4" fillId="2" borderId="2" xfId="2" applyNumberFormat="1" applyFont="1" applyFill="1" applyBorder="1" applyAlignment="1" applyProtection="1">
      <alignment vertical="top"/>
      <protection locked="0"/>
    </xf>
    <xf numFmtId="4" fontId="2" fillId="2" borderId="2" xfId="9" applyNumberFormat="1" applyFont="1" applyFill="1" applyBorder="1" applyAlignment="1" applyProtection="1">
      <alignment horizontal="right" vertical="top" wrapText="1"/>
      <protection locked="0"/>
    </xf>
    <xf numFmtId="166" fontId="9" fillId="4" borderId="1" xfId="2" applyFont="1" applyFill="1" applyBorder="1" applyAlignment="1" applyProtection="1">
      <alignment vertical="top"/>
      <protection locked="0"/>
    </xf>
    <xf numFmtId="4" fontId="2" fillId="4" borderId="1" xfId="9" applyNumberFormat="1" applyFont="1" applyFill="1" applyBorder="1" applyAlignment="1" applyProtection="1">
      <alignment horizontal="right" vertical="top" wrapText="1"/>
      <protection locked="0"/>
    </xf>
    <xf numFmtId="166" fontId="9" fillId="2" borderId="0" xfId="2" applyFont="1" applyFill="1" applyBorder="1" applyAlignment="1" applyProtection="1">
      <alignment vertical="top"/>
      <protection locked="0"/>
    </xf>
    <xf numFmtId="4" fontId="4" fillId="2" borderId="0" xfId="2" applyNumberFormat="1" applyFont="1" applyFill="1" applyBorder="1" applyAlignment="1" applyProtection="1">
      <alignment vertical="top"/>
      <protection locked="0"/>
    </xf>
    <xf numFmtId="166" fontId="9" fillId="5" borderId="1" xfId="2" applyFont="1" applyFill="1" applyBorder="1" applyAlignment="1" applyProtection="1">
      <alignment vertical="top"/>
      <protection locked="0"/>
    </xf>
    <xf numFmtId="4" fontId="2" fillId="5" borderId="36" xfId="9" applyNumberFormat="1" applyFont="1" applyFill="1" applyBorder="1" applyAlignment="1" applyProtection="1">
      <alignment horizontal="right" vertical="top" wrapText="1"/>
      <protection locked="0"/>
    </xf>
    <xf numFmtId="167" fontId="4" fillId="2" borderId="0" xfId="2" applyNumberFormat="1" applyFont="1" applyFill="1" applyBorder="1" applyAlignment="1" applyProtection="1">
      <alignment horizontal="center" vertical="center"/>
      <protection locked="0"/>
    </xf>
    <xf numFmtId="0" fontId="4" fillId="2" borderId="0" xfId="3" applyFont="1" applyFill="1" applyBorder="1" applyAlignment="1" applyProtection="1">
      <alignment vertical="center"/>
      <protection locked="0"/>
    </xf>
    <xf numFmtId="166" fontId="9" fillId="2" borderId="0" xfId="2" applyFont="1" applyFill="1" applyBorder="1" applyAlignment="1" applyProtection="1">
      <alignment horizontal="center" vertical="center"/>
      <protection locked="0"/>
    </xf>
    <xf numFmtId="166" fontId="9" fillId="2" borderId="0" xfId="2" applyFont="1" applyFill="1" applyBorder="1" applyAlignment="1" applyProtection="1">
      <alignment vertical="center"/>
      <protection locked="0"/>
    </xf>
    <xf numFmtId="4" fontId="4" fillId="2" borderId="0" xfId="2" applyNumberFormat="1" applyFont="1" applyFill="1" applyBorder="1" applyAlignment="1" applyProtection="1">
      <alignment vertical="center"/>
      <protection locked="0"/>
    </xf>
    <xf numFmtId="166" fontId="4" fillId="2" borderId="0" xfId="2" applyFont="1" applyFill="1" applyBorder="1" applyAlignment="1" applyProtection="1">
      <alignment vertical="center"/>
      <protection locked="0"/>
    </xf>
    <xf numFmtId="167" fontId="2" fillId="3" borderId="1" xfId="2" applyNumberFormat="1" applyFont="1" applyFill="1" applyBorder="1" applyAlignment="1" applyProtection="1">
      <alignment horizontal="center" vertical="center"/>
    </xf>
    <xf numFmtId="0" fontId="2" fillId="3" borderId="1" xfId="3" applyFont="1" applyFill="1" applyBorder="1" applyAlignment="1" applyProtection="1">
      <alignment horizontal="center" vertical="center"/>
    </xf>
    <xf numFmtId="166" fontId="2" fillId="3" borderId="1" xfId="2" applyFont="1" applyFill="1" applyBorder="1" applyAlignment="1" applyProtection="1">
      <alignment horizontal="center" vertical="center"/>
    </xf>
    <xf numFmtId="167" fontId="4" fillId="2" borderId="2" xfId="2" applyNumberFormat="1" applyFont="1" applyFill="1" applyBorder="1" applyAlignment="1" applyProtection="1">
      <alignment horizontal="center" vertical="center"/>
    </xf>
    <xf numFmtId="0" fontId="4" fillId="2" borderId="2" xfId="3" applyFont="1" applyFill="1" applyBorder="1" applyAlignment="1" applyProtection="1">
      <alignment vertical="center"/>
    </xf>
    <xf numFmtId="166" fontId="4" fillId="2" borderId="2" xfId="2" applyFont="1" applyFill="1" applyBorder="1" applyAlignment="1" applyProtection="1">
      <alignment horizontal="center" vertical="center"/>
    </xf>
    <xf numFmtId="167" fontId="4" fillId="2" borderId="2" xfId="2" applyNumberFormat="1" applyFont="1" applyFill="1" applyBorder="1" applyAlignment="1" applyProtection="1">
      <alignment horizontal="right" vertical="top" wrapText="1"/>
    </xf>
    <xf numFmtId="0" fontId="4" fillId="2" borderId="0" xfId="3" applyNumberFormat="1" applyFont="1" applyFill="1" applyBorder="1" applyAlignment="1" applyProtection="1">
      <alignment vertical="center" wrapText="1"/>
    </xf>
    <xf numFmtId="166" fontId="4" fillId="2" borderId="2" xfId="2" applyFont="1" applyFill="1" applyBorder="1" applyAlignment="1" applyProtection="1">
      <alignment horizontal="right" vertical="center" wrapText="1"/>
    </xf>
    <xf numFmtId="2" fontId="4" fillId="2" borderId="3" xfId="2" applyNumberFormat="1" applyFont="1" applyFill="1" applyBorder="1" applyAlignment="1" applyProtection="1">
      <alignment horizontal="center" vertical="center" wrapText="1"/>
    </xf>
    <xf numFmtId="167" fontId="2" fillId="2" borderId="2" xfId="2" applyNumberFormat="1" applyFont="1" applyFill="1" applyBorder="1" applyAlignment="1" applyProtection="1">
      <alignment horizontal="center" vertical="top" wrapText="1"/>
    </xf>
    <xf numFmtId="0" fontId="2" fillId="2" borderId="2" xfId="4" applyFont="1" applyFill="1" applyBorder="1" applyAlignment="1" applyProtection="1">
      <alignment vertical="top" wrapText="1"/>
    </xf>
    <xf numFmtId="166" fontId="4" fillId="2" borderId="2" xfId="2" applyFont="1" applyFill="1" applyBorder="1" applyAlignment="1" applyProtection="1">
      <alignment horizontal="right" vertical="top" wrapText="1"/>
    </xf>
    <xf numFmtId="2" fontId="4" fillId="2" borderId="2" xfId="2" applyNumberFormat="1" applyFont="1" applyFill="1" applyBorder="1" applyAlignment="1" applyProtection="1">
      <alignment horizontal="center" vertical="top" wrapText="1"/>
    </xf>
    <xf numFmtId="1" fontId="2" fillId="2" borderId="2" xfId="4" applyNumberFormat="1" applyFont="1" applyFill="1" applyBorder="1" applyAlignment="1" applyProtection="1">
      <alignment horizontal="center" vertical="top"/>
    </xf>
    <xf numFmtId="39" fontId="2" fillId="2" borderId="2" xfId="4" applyNumberFormat="1" applyFont="1" applyFill="1" applyBorder="1" applyAlignment="1" applyProtection="1">
      <alignment horizontal="left" vertical="top"/>
    </xf>
    <xf numFmtId="43" fontId="2" fillId="2" borderId="2" xfId="5" applyNumberFormat="1" applyFont="1" applyFill="1" applyBorder="1" applyAlignment="1" applyProtection="1">
      <alignment horizontal="center" vertical="top"/>
    </xf>
    <xf numFmtId="39" fontId="2" fillId="2" borderId="2" xfId="4" applyNumberFormat="1" applyFont="1" applyFill="1" applyBorder="1" applyAlignment="1" applyProtection="1">
      <alignment horizontal="center" vertical="top"/>
    </xf>
    <xf numFmtId="167" fontId="2" fillId="2" borderId="2" xfId="2" applyNumberFormat="1" applyFont="1" applyFill="1" applyBorder="1" applyAlignment="1" applyProtection="1">
      <alignment horizontal="right" vertical="top" wrapText="1"/>
    </xf>
    <xf numFmtId="0" fontId="2" fillId="2" borderId="0" xfId="4" applyFont="1" applyFill="1" applyBorder="1" applyAlignment="1" applyProtection="1">
      <alignment vertical="top" wrapText="1"/>
    </xf>
    <xf numFmtId="2" fontId="4" fillId="2" borderId="3" xfId="2" applyNumberFormat="1" applyFont="1" applyFill="1" applyBorder="1" applyAlignment="1" applyProtection="1">
      <alignment horizontal="center" vertical="top" wrapText="1"/>
    </xf>
    <xf numFmtId="1" fontId="2" fillId="2" borderId="2" xfId="4" applyNumberFormat="1" applyFont="1" applyFill="1" applyBorder="1" applyAlignment="1" applyProtection="1">
      <alignment horizontal="right" vertical="top"/>
    </xf>
    <xf numFmtId="168" fontId="4" fillId="2" borderId="2" xfId="6" applyNumberFormat="1" applyFont="1" applyFill="1" applyBorder="1" applyAlignment="1" applyProtection="1">
      <alignment vertical="top" wrapText="1"/>
    </xf>
    <xf numFmtId="0" fontId="4" fillId="2" borderId="2" xfId="6" applyFont="1" applyFill="1" applyBorder="1" applyAlignment="1" applyProtection="1">
      <alignment horizontal="left" vertical="top" wrapText="1"/>
    </xf>
    <xf numFmtId="4" fontId="4" fillId="2" borderId="2" xfId="7" applyNumberFormat="1" applyFont="1" applyFill="1" applyBorder="1" applyAlignment="1" applyProtection="1">
      <alignment horizontal="right" vertical="top" wrapText="1"/>
    </xf>
    <xf numFmtId="170" fontId="4" fillId="2" borderId="2" xfId="6" applyNumberFormat="1" applyFont="1" applyFill="1" applyBorder="1" applyAlignment="1" applyProtection="1">
      <alignment horizontal="center" vertical="top" wrapText="1"/>
    </xf>
    <xf numFmtId="0" fontId="4" fillId="2" borderId="2" xfId="6" applyFont="1" applyFill="1" applyBorder="1" applyAlignment="1" applyProtection="1">
      <alignment vertical="top" wrapText="1"/>
    </xf>
    <xf numFmtId="4" fontId="4" fillId="2" borderId="0" xfId="7" applyNumberFormat="1" applyFont="1" applyFill="1" applyBorder="1" applyAlignment="1" applyProtection="1">
      <alignment vertical="top" wrapText="1"/>
    </xf>
    <xf numFmtId="0" fontId="4" fillId="2" borderId="2" xfId="4" applyFont="1" applyFill="1" applyBorder="1" applyAlignment="1" applyProtection="1">
      <alignment horizontal="left" vertical="top" wrapText="1"/>
    </xf>
    <xf numFmtId="171" fontId="5" fillId="2" borderId="2" xfId="4" applyNumberFormat="1" applyFont="1" applyFill="1" applyBorder="1" applyAlignment="1" applyProtection="1">
      <alignment horizontal="right" vertical="top" wrapText="1"/>
    </xf>
    <xf numFmtId="172" fontId="5" fillId="2" borderId="2" xfId="4" applyNumberFormat="1" applyFont="1" applyFill="1" applyBorder="1" applyAlignment="1" applyProtection="1">
      <alignment horizontal="center" vertical="top"/>
    </xf>
    <xf numFmtId="39" fontId="4" fillId="2" borderId="2" xfId="6" applyNumberFormat="1" applyFont="1" applyFill="1" applyBorder="1" applyAlignment="1" applyProtection="1">
      <alignment vertical="top" wrapText="1"/>
    </xf>
    <xf numFmtId="4" fontId="4" fillId="2" borderId="2" xfId="7" applyNumberFormat="1" applyFont="1" applyFill="1" applyBorder="1" applyAlignment="1" applyProtection="1">
      <alignment horizontal="right" vertical="center" wrapText="1"/>
    </xf>
    <xf numFmtId="170" fontId="4" fillId="2" borderId="2" xfId="6" applyNumberFormat="1" applyFont="1" applyFill="1" applyBorder="1" applyAlignment="1" applyProtection="1">
      <alignment horizontal="center" vertical="center" wrapText="1"/>
    </xf>
    <xf numFmtId="39" fontId="4" fillId="2" borderId="2" xfId="4" applyNumberFormat="1" applyFont="1" applyFill="1" applyBorder="1" applyAlignment="1" applyProtection="1">
      <alignment horizontal="left" vertical="top"/>
    </xf>
    <xf numFmtId="43" fontId="4" fillId="2" borderId="2" xfId="5" applyNumberFormat="1" applyFont="1" applyFill="1" applyBorder="1" applyAlignment="1" applyProtection="1">
      <alignment horizontal="right" vertical="top" wrapText="1"/>
    </xf>
    <xf numFmtId="39" fontId="4" fillId="2" borderId="2" xfId="4" applyNumberFormat="1" applyFont="1" applyFill="1" applyBorder="1" applyAlignment="1" applyProtection="1">
      <alignment horizontal="center" vertical="top"/>
    </xf>
    <xf numFmtId="172" fontId="4" fillId="2" borderId="2" xfId="4" applyNumberFormat="1" applyFont="1" applyFill="1" applyBorder="1" applyAlignment="1" applyProtection="1">
      <alignment horizontal="justify" vertical="top" wrapText="1"/>
    </xf>
    <xf numFmtId="172" fontId="4" fillId="2" borderId="2" xfId="4" applyNumberFormat="1" applyFont="1" applyFill="1" applyBorder="1" applyAlignment="1" applyProtection="1">
      <alignment horizontal="center" vertical="top" wrapText="1"/>
    </xf>
    <xf numFmtId="43" fontId="4" fillId="2" borderId="2" xfId="5" applyNumberFormat="1" applyFont="1" applyFill="1" applyBorder="1" applyAlignment="1" applyProtection="1">
      <alignment horizontal="center" vertical="top" wrapText="1"/>
    </xf>
    <xf numFmtId="171" fontId="5" fillId="2" borderId="2" xfId="4" applyNumberFormat="1" applyFont="1" applyFill="1" applyBorder="1" applyAlignment="1" applyProtection="1">
      <alignment horizontal="right" vertical="center" wrapText="1"/>
    </xf>
    <xf numFmtId="172" fontId="5" fillId="2" borderId="2" xfId="4" applyNumberFormat="1" applyFont="1" applyFill="1" applyBorder="1" applyAlignment="1" applyProtection="1">
      <alignment horizontal="center" vertical="center"/>
    </xf>
    <xf numFmtId="1" fontId="5" fillId="2" borderId="2" xfId="5" applyNumberFormat="1" applyFont="1" applyFill="1" applyBorder="1" applyAlignment="1" applyProtection="1">
      <alignment horizontal="right" vertical="top" wrapText="1"/>
    </xf>
    <xf numFmtId="170" fontId="2" fillId="2" borderId="2" xfId="4" applyNumberFormat="1" applyFont="1" applyFill="1" applyBorder="1" applyAlignment="1" applyProtection="1">
      <alignment horizontal="center" vertical="center" wrapText="1"/>
    </xf>
    <xf numFmtId="2" fontId="4" fillId="2" borderId="2" xfId="4" applyNumberFormat="1" applyFont="1" applyFill="1" applyBorder="1" applyAlignment="1" applyProtection="1">
      <alignment horizontal="right" vertical="top" wrapText="1"/>
    </xf>
    <xf numFmtId="0" fontId="4" fillId="2" borderId="2" xfId="4" applyFont="1" applyFill="1" applyBorder="1" applyAlignment="1" applyProtection="1">
      <alignment horizontal="center" vertical="top" wrapText="1"/>
    </xf>
    <xf numFmtId="1" fontId="6" fillId="2" borderId="2" xfId="5" applyNumberFormat="1" applyFont="1" applyFill="1" applyBorder="1" applyAlignment="1" applyProtection="1">
      <alignment horizontal="right" vertical="top"/>
    </xf>
    <xf numFmtId="0" fontId="2" fillId="2" borderId="2" xfId="4" applyFont="1" applyFill="1" applyBorder="1" applyAlignment="1" applyProtection="1">
      <alignment horizontal="left" vertical="top" wrapText="1"/>
    </xf>
    <xf numFmtId="0" fontId="4" fillId="2" borderId="0" xfId="4" applyFont="1" applyFill="1" applyBorder="1" applyAlignment="1" applyProtection="1">
      <alignment horizontal="center" vertical="top"/>
    </xf>
    <xf numFmtId="175" fontId="5" fillId="2" borderId="2" xfId="5" applyNumberFormat="1" applyFont="1" applyFill="1" applyBorder="1" applyAlignment="1" applyProtection="1">
      <alignment horizontal="right" vertical="top" wrapText="1"/>
    </xf>
    <xf numFmtId="0" fontId="4" fillId="2" borderId="2" xfId="10" applyFont="1" applyFill="1" applyBorder="1" applyAlignment="1" applyProtection="1">
      <alignment vertical="top" wrapText="1"/>
    </xf>
    <xf numFmtId="0" fontId="4" fillId="2" borderId="2" xfId="10" applyFont="1" applyFill="1" applyBorder="1" applyAlignment="1" applyProtection="1">
      <alignment horizontal="center" vertical="center"/>
    </xf>
    <xf numFmtId="0" fontId="4" fillId="2" borderId="0" xfId="4" applyFont="1" applyFill="1" applyBorder="1" applyAlignment="1" applyProtection="1">
      <alignment horizontal="center" vertical="center"/>
    </xf>
    <xf numFmtId="175" fontId="5" fillId="2" borderId="5" xfId="5" applyNumberFormat="1" applyFont="1" applyFill="1" applyBorder="1" applyAlignment="1" applyProtection="1">
      <alignment horizontal="right" vertical="top" wrapText="1"/>
    </xf>
    <xf numFmtId="0" fontId="4" fillId="2" borderId="5" xfId="10" applyFont="1" applyFill="1" applyBorder="1" applyAlignment="1" applyProtection="1">
      <alignment vertical="top" wrapText="1"/>
    </xf>
    <xf numFmtId="0" fontId="4" fillId="2" borderId="6" xfId="4" applyFont="1" applyFill="1" applyBorder="1" applyAlignment="1" applyProtection="1">
      <alignment horizontal="center" vertical="top"/>
    </xf>
    <xf numFmtId="1" fontId="6" fillId="2" borderId="2" xfId="5" applyNumberFormat="1" applyFont="1" applyFill="1" applyBorder="1" applyAlignment="1" applyProtection="1">
      <alignment horizontal="right" vertical="top" wrapText="1"/>
    </xf>
    <xf numFmtId="0" fontId="2" fillId="2" borderId="2" xfId="4" applyFont="1" applyFill="1" applyBorder="1" applyAlignment="1" applyProtection="1">
      <alignment horizontal="center" vertical="top"/>
    </xf>
    <xf numFmtId="175" fontId="5" fillId="2" borderId="2" xfId="5" applyNumberFormat="1" applyFont="1" applyFill="1" applyBorder="1" applyAlignment="1" applyProtection="1">
      <alignment vertical="top" wrapText="1"/>
    </xf>
    <xf numFmtId="0" fontId="4" fillId="2" borderId="2" xfId="4" applyFont="1" applyFill="1" applyBorder="1" applyAlignment="1" applyProtection="1">
      <alignment horizontal="center" vertical="center"/>
    </xf>
    <xf numFmtId="0" fontId="4" fillId="2" borderId="2" xfId="4" applyFont="1" applyFill="1" applyBorder="1" applyAlignment="1" applyProtection="1">
      <alignment horizontal="center" vertical="center" wrapText="1"/>
    </xf>
    <xf numFmtId="2" fontId="5" fillId="2" borderId="2" xfId="5" applyNumberFormat="1" applyFont="1" applyFill="1" applyBorder="1" applyAlignment="1" applyProtection="1">
      <alignment vertical="top" wrapText="1"/>
    </xf>
    <xf numFmtId="172" fontId="4" fillId="2" borderId="2" xfId="4" applyNumberFormat="1" applyFont="1" applyFill="1" applyBorder="1" applyAlignment="1" applyProtection="1">
      <alignment vertical="top" wrapText="1"/>
    </xf>
    <xf numFmtId="1" fontId="6" fillId="2" borderId="2" xfId="5" applyNumberFormat="1" applyFont="1" applyFill="1" applyBorder="1" applyAlignment="1" applyProtection="1">
      <alignment vertical="top" wrapText="1"/>
    </xf>
    <xf numFmtId="175" fontId="6" fillId="2" borderId="2" xfId="5" applyNumberFormat="1" applyFont="1" applyFill="1" applyBorder="1" applyAlignment="1" applyProtection="1">
      <alignment vertical="top" wrapText="1"/>
    </xf>
    <xf numFmtId="0" fontId="2" fillId="2" borderId="2" xfId="19" applyNumberFormat="1" applyFont="1" applyFill="1" applyBorder="1" applyAlignment="1" applyProtection="1">
      <alignment horizontal="left" vertical="top" wrapText="1"/>
    </xf>
    <xf numFmtId="0" fontId="2" fillId="0" borderId="2" xfId="0" applyFont="1" applyFill="1" applyBorder="1" applyAlignment="1" applyProtection="1">
      <alignment wrapText="1"/>
    </xf>
    <xf numFmtId="4" fontId="5" fillId="0" borderId="3" xfId="0" applyNumberFormat="1" applyFont="1" applyFill="1" applyBorder="1" applyAlignment="1" applyProtection="1"/>
    <xf numFmtId="172" fontId="5" fillId="0" borderId="2" xfId="0" applyNumberFormat="1" applyFont="1" applyFill="1" applyBorder="1" applyAlignment="1" applyProtection="1">
      <alignment horizontal="center"/>
    </xf>
    <xf numFmtId="0" fontId="4" fillId="0" borderId="2" xfId="0" applyFont="1" applyFill="1" applyBorder="1" applyAlignment="1" applyProtection="1">
      <alignment wrapText="1"/>
    </xf>
    <xf numFmtId="0" fontId="4" fillId="2" borderId="2" xfId="0" applyFont="1" applyFill="1" applyBorder="1" applyAlignment="1" applyProtection="1">
      <alignment vertical="top" wrapText="1"/>
    </xf>
    <xf numFmtId="4" fontId="4" fillId="2" borderId="3" xfId="0" applyNumberFormat="1" applyFont="1" applyFill="1" applyBorder="1" applyAlignment="1" applyProtection="1"/>
    <xf numFmtId="172" fontId="4" fillId="2" borderId="2" xfId="0" applyNumberFormat="1" applyFont="1" applyFill="1" applyBorder="1" applyAlignment="1" applyProtection="1">
      <alignment horizontal="center"/>
    </xf>
    <xf numFmtId="0" fontId="4" fillId="2" borderId="2" xfId="0" applyFont="1" applyFill="1" applyBorder="1" applyAlignment="1" applyProtection="1">
      <alignment wrapText="1"/>
    </xf>
    <xf numFmtId="4" fontId="5" fillId="2" borderId="3" xfId="0" applyNumberFormat="1" applyFont="1" applyFill="1" applyBorder="1" applyAlignment="1" applyProtection="1"/>
    <xf numFmtId="172" fontId="5" fillId="2" borderId="2" xfId="0" applyNumberFormat="1" applyFont="1" applyFill="1" applyBorder="1" applyAlignment="1" applyProtection="1">
      <alignment horizontal="center"/>
    </xf>
    <xf numFmtId="0" fontId="2" fillId="2" borderId="2" xfId="0" applyFont="1" applyFill="1" applyBorder="1" applyAlignment="1" applyProtection="1">
      <alignment wrapText="1"/>
    </xf>
    <xf numFmtId="0" fontId="4" fillId="2" borderId="5" xfId="0" applyFont="1" applyFill="1" applyBorder="1" applyAlignment="1" applyProtection="1">
      <alignment wrapText="1"/>
    </xf>
    <xf numFmtId="4" fontId="5" fillId="2" borderId="8" xfId="0" applyNumberFormat="1" applyFont="1" applyFill="1" applyBorder="1" applyAlignment="1" applyProtection="1"/>
    <xf numFmtId="172" fontId="5" fillId="2" borderId="5" xfId="0" applyNumberFormat="1" applyFont="1" applyFill="1" applyBorder="1" applyAlignment="1" applyProtection="1">
      <alignment horizontal="center"/>
    </xf>
    <xf numFmtId="0" fontId="4" fillId="2" borderId="2" xfId="19" applyFill="1" applyBorder="1" applyAlignment="1" applyProtection="1">
      <alignment vertical="top" wrapText="1"/>
    </xf>
    <xf numFmtId="4" fontId="5" fillId="2" borderId="3" xfId="0" applyNumberFormat="1" applyFont="1" applyFill="1" applyBorder="1" applyAlignment="1" applyProtection="1">
      <alignment vertical="center"/>
    </xf>
    <xf numFmtId="172" fontId="5" fillId="2" borderId="2" xfId="0" applyNumberFormat="1" applyFont="1" applyFill="1" applyBorder="1" applyAlignment="1" applyProtection="1">
      <alignment horizontal="center" vertical="center"/>
    </xf>
    <xf numFmtId="4" fontId="5" fillId="0" borderId="3" xfId="0" applyNumberFormat="1" applyFont="1" applyFill="1" applyBorder="1" applyAlignment="1" applyProtection="1">
      <alignment vertical="top"/>
    </xf>
    <xf numFmtId="172" fontId="5" fillId="0" borderId="2" xfId="0" applyNumberFormat="1" applyFont="1" applyFill="1" applyBorder="1" applyAlignment="1" applyProtection="1">
      <alignment horizontal="center" vertical="top"/>
    </xf>
    <xf numFmtId="0" fontId="12" fillId="0" borderId="2" xfId="0" applyFont="1" applyFill="1" applyBorder="1" applyAlignment="1" applyProtection="1">
      <alignment wrapText="1"/>
    </xf>
    <xf numFmtId="4" fontId="12" fillId="0" borderId="3" xfId="0" applyNumberFormat="1" applyFont="1" applyFill="1" applyBorder="1" applyAlignment="1" applyProtection="1"/>
    <xf numFmtId="172" fontId="12" fillId="0" borderId="2" xfId="0" applyNumberFormat="1" applyFont="1" applyFill="1" applyBorder="1" applyAlignment="1" applyProtection="1">
      <alignment horizontal="center"/>
    </xf>
    <xf numFmtId="172" fontId="4" fillId="0" borderId="2" xfId="0" applyNumberFormat="1" applyFont="1" applyFill="1" applyBorder="1" applyAlignment="1" applyProtection="1">
      <alignment horizontal="center"/>
    </xf>
    <xf numFmtId="170" fontId="2" fillId="2" borderId="2" xfId="4" applyNumberFormat="1" applyFont="1" applyFill="1" applyBorder="1" applyAlignment="1" applyProtection="1">
      <alignment vertical="top" wrapText="1"/>
    </xf>
    <xf numFmtId="168" fontId="4" fillId="0" borderId="2" xfId="0" applyNumberFormat="1" applyFont="1" applyFill="1" applyBorder="1" applyAlignment="1" applyProtection="1">
      <alignment horizontal="right" vertical="top" wrapText="1"/>
    </xf>
    <xf numFmtId="0" fontId="4" fillId="0" borderId="2" xfId="0" applyFont="1" applyFill="1" applyBorder="1" applyAlignment="1" applyProtection="1">
      <alignment horizontal="left" vertical="top"/>
    </xf>
    <xf numFmtId="4" fontId="4" fillId="0" borderId="2" xfId="0" applyNumberFormat="1" applyFont="1" applyFill="1" applyBorder="1" applyAlignment="1" applyProtection="1">
      <alignment wrapText="1"/>
    </xf>
    <xf numFmtId="0" fontId="4" fillId="0" borderId="2" xfId="0" applyFont="1" applyFill="1" applyBorder="1" applyAlignment="1" applyProtection="1">
      <alignment horizontal="center"/>
    </xf>
    <xf numFmtId="168" fontId="2" fillId="0" borderId="2" xfId="0" applyNumberFormat="1" applyFont="1" applyFill="1" applyBorder="1" applyAlignment="1" applyProtection="1">
      <alignment horizontal="right" vertical="top" wrapText="1"/>
    </xf>
    <xf numFmtId="0" fontId="4" fillId="2" borderId="2" xfId="0" applyFont="1" applyFill="1" applyBorder="1" applyAlignment="1" applyProtection="1">
      <alignment horizontal="left" vertical="top" wrapText="1"/>
    </xf>
    <xf numFmtId="4" fontId="4" fillId="2" borderId="2" xfId="0" applyNumberFormat="1" applyFont="1" applyFill="1" applyBorder="1" applyAlignment="1" applyProtection="1">
      <alignment vertical="top" wrapText="1"/>
    </xf>
    <xf numFmtId="0" fontId="4" fillId="2" borderId="2" xfId="0" applyFont="1" applyFill="1" applyBorder="1" applyAlignment="1" applyProtection="1">
      <alignment horizontal="center" vertical="top"/>
    </xf>
    <xf numFmtId="180" fontId="2" fillId="0" borderId="2" xfId="0" applyNumberFormat="1" applyFont="1" applyFill="1" applyBorder="1" applyAlignment="1" applyProtection="1">
      <alignment horizontal="right" vertical="top" wrapText="1"/>
    </xf>
    <xf numFmtId="0" fontId="2" fillId="0" borderId="2" xfId="0" applyFont="1" applyFill="1" applyBorder="1" applyAlignment="1" applyProtection="1">
      <alignment horizontal="left" vertical="top"/>
    </xf>
    <xf numFmtId="180" fontId="4" fillId="0" borderId="2" xfId="0" applyNumberFormat="1" applyFont="1" applyFill="1" applyBorder="1" applyAlignment="1" applyProtection="1">
      <alignment horizontal="right" vertical="top" wrapText="1"/>
    </xf>
    <xf numFmtId="0" fontId="4" fillId="2" borderId="2" xfId="0" applyFont="1" applyFill="1" applyBorder="1" applyAlignment="1" applyProtection="1">
      <alignment horizontal="left" vertical="top"/>
    </xf>
    <xf numFmtId="4" fontId="4" fillId="2" borderId="2" xfId="0" applyNumberFormat="1" applyFont="1" applyFill="1" applyBorder="1" applyAlignment="1" applyProtection="1">
      <alignment wrapText="1"/>
    </xf>
    <xf numFmtId="0" fontId="4" fillId="2" borderId="2" xfId="0" applyFont="1" applyFill="1" applyBorder="1" applyAlignment="1" applyProtection="1">
      <alignment horizontal="left"/>
    </xf>
    <xf numFmtId="0" fontId="4" fillId="2" borderId="2" xfId="0" applyFont="1" applyFill="1" applyBorder="1" applyAlignment="1" applyProtection="1">
      <alignment horizontal="center"/>
    </xf>
    <xf numFmtId="0" fontId="2" fillId="2" borderId="2" xfId="0" applyFont="1" applyFill="1" applyBorder="1" applyAlignment="1" applyProtection="1">
      <alignment horizontal="left" vertical="top"/>
    </xf>
    <xf numFmtId="4" fontId="4" fillId="2" borderId="2" xfId="0" applyNumberFormat="1" applyFont="1" applyFill="1" applyBorder="1" applyAlignment="1" applyProtection="1">
      <alignment vertical="center" wrapText="1"/>
    </xf>
    <xf numFmtId="0" fontId="4" fillId="2" borderId="2" xfId="55" applyFill="1" applyBorder="1" applyAlignment="1" applyProtection="1">
      <alignment vertical="top" wrapText="1"/>
    </xf>
    <xf numFmtId="39" fontId="4" fillId="0" borderId="2" xfId="0" applyNumberFormat="1" applyFont="1" applyFill="1" applyBorder="1" applyAlignment="1" applyProtection="1">
      <alignment horizontal="right" vertical="top" wrapText="1"/>
    </xf>
    <xf numFmtId="0" fontId="4" fillId="0" borderId="2" xfId="0" applyFont="1" applyFill="1" applyBorder="1" applyAlignment="1" applyProtection="1">
      <alignment vertical="top" wrapText="1"/>
    </xf>
    <xf numFmtId="4" fontId="4" fillId="0" borderId="2" xfId="0" applyNumberFormat="1" applyFont="1" applyFill="1" applyBorder="1" applyAlignment="1" applyProtection="1">
      <alignment vertical="top" wrapText="1"/>
    </xf>
    <xf numFmtId="0" fontId="4" fillId="0" borderId="2" xfId="0" applyFont="1" applyFill="1" applyBorder="1" applyAlignment="1" applyProtection="1">
      <alignment horizontal="center" vertical="top"/>
    </xf>
    <xf numFmtId="0" fontId="4" fillId="2" borderId="2" xfId="0" quotePrefix="1" applyFont="1" applyFill="1" applyBorder="1" applyAlignment="1" applyProtection="1">
      <alignment horizontal="left" vertical="top" wrapText="1"/>
    </xf>
    <xf numFmtId="180" fontId="2" fillId="0" borderId="5" xfId="0" applyNumberFormat="1" applyFont="1" applyFill="1" applyBorder="1" applyAlignment="1" applyProtection="1">
      <alignment horizontal="right" vertical="top" wrapText="1"/>
    </xf>
    <xf numFmtId="0" fontId="4" fillId="0" borderId="5" xfId="0" quotePrefix="1" applyFont="1" applyFill="1" applyBorder="1" applyAlignment="1" applyProtection="1">
      <alignment horizontal="left" vertical="top"/>
    </xf>
    <xf numFmtId="0" fontId="4" fillId="0" borderId="5" xfId="0" applyFont="1" applyFill="1" applyBorder="1" applyAlignment="1" applyProtection="1">
      <alignment wrapText="1"/>
    </xf>
    <xf numFmtId="0" fontId="4" fillId="0" borderId="5" xfId="0" applyFont="1" applyFill="1" applyBorder="1" applyAlignment="1" applyProtection="1"/>
    <xf numFmtId="37" fontId="2" fillId="0" borderId="2" xfId="0" applyNumberFormat="1" applyFont="1" applyFill="1" applyBorder="1" applyAlignment="1" applyProtection="1">
      <alignment horizontal="right" vertical="top" wrapText="1"/>
    </xf>
    <xf numFmtId="0" fontId="2" fillId="0" borderId="2" xfId="0" quotePrefix="1" applyFont="1" applyFill="1" applyBorder="1" applyAlignment="1" applyProtection="1">
      <alignment horizontal="left" vertical="top"/>
    </xf>
    <xf numFmtId="0" fontId="4" fillId="0" borderId="2" xfId="0" applyFont="1" applyFill="1" applyBorder="1" applyAlignment="1" applyProtection="1"/>
    <xf numFmtId="180" fontId="5" fillId="2" borderId="2" xfId="0" applyNumberFormat="1" applyFont="1" applyFill="1" applyBorder="1" applyAlignment="1" applyProtection="1">
      <alignment horizontal="right" wrapText="1"/>
    </xf>
    <xf numFmtId="0" fontId="5" fillId="2" borderId="2" xfId="0" applyFont="1" applyFill="1" applyBorder="1" applyAlignment="1" applyProtection="1">
      <alignment horizontal="left"/>
    </xf>
    <xf numFmtId="4" fontId="5" fillId="2" borderId="2" xfId="0" applyNumberFormat="1" applyFont="1" applyFill="1" applyBorder="1" applyAlignment="1" applyProtection="1">
      <alignment horizontal="right"/>
    </xf>
    <xf numFmtId="4" fontId="5" fillId="2" borderId="2" xfId="0" applyNumberFormat="1" applyFont="1" applyFill="1" applyBorder="1" applyAlignment="1" applyProtection="1">
      <alignment horizontal="center"/>
    </xf>
    <xf numFmtId="180" fontId="5" fillId="2" borderId="2" xfId="0" applyNumberFormat="1" applyFont="1" applyFill="1" applyBorder="1" applyAlignment="1" applyProtection="1">
      <alignment horizontal="right" vertical="top" wrapText="1"/>
    </xf>
    <xf numFmtId="0" fontId="5" fillId="2" borderId="2" xfId="0" applyFont="1" applyFill="1" applyBorder="1" applyAlignment="1" applyProtection="1">
      <alignment horizontal="left" wrapText="1"/>
    </xf>
    <xf numFmtId="4" fontId="5" fillId="2" borderId="2" xfId="0" applyNumberFormat="1" applyFont="1" applyFill="1" applyBorder="1" applyAlignment="1" applyProtection="1">
      <alignment horizontal="right" vertical="center"/>
    </xf>
    <xf numFmtId="4" fontId="5" fillId="2" borderId="2" xfId="0" applyNumberFormat="1" applyFont="1" applyFill="1" applyBorder="1" applyAlignment="1" applyProtection="1">
      <alignment horizontal="center" vertical="center"/>
    </xf>
    <xf numFmtId="39" fontId="5" fillId="2" borderId="2" xfId="0" applyNumberFormat="1" applyFont="1" applyFill="1" applyBorder="1" applyAlignment="1" applyProtection="1">
      <alignment horizontal="right" wrapText="1"/>
    </xf>
    <xf numFmtId="2" fontId="4" fillId="0" borderId="2" xfId="0" applyNumberFormat="1" applyFont="1" applyFill="1" applyBorder="1" applyAlignment="1" applyProtection="1">
      <alignment wrapText="1"/>
    </xf>
    <xf numFmtId="0" fontId="4" fillId="0" borderId="2" xfId="0" applyFont="1" applyFill="1" applyBorder="1" applyAlignment="1" applyProtection="1">
      <alignment horizontal="left" vertical="top" wrapText="1"/>
    </xf>
    <xf numFmtId="1" fontId="5" fillId="4" borderId="2" xfId="5" applyNumberFormat="1" applyFont="1" applyFill="1" applyBorder="1" applyAlignment="1" applyProtection="1">
      <alignment horizontal="right" vertical="top" wrapText="1"/>
    </xf>
    <xf numFmtId="170" fontId="2" fillId="4" borderId="2" xfId="4" applyNumberFormat="1" applyFont="1" applyFill="1" applyBorder="1" applyAlignment="1" applyProtection="1">
      <alignment horizontal="center" vertical="center" wrapText="1"/>
    </xf>
    <xf numFmtId="2" fontId="4" fillId="4" borderId="2" xfId="4" applyNumberFormat="1" applyFont="1" applyFill="1" applyBorder="1" applyAlignment="1" applyProtection="1">
      <alignment horizontal="right" vertical="top" wrapText="1"/>
    </xf>
    <xf numFmtId="0" fontId="4" fillId="4" borderId="0" xfId="4" applyFont="1" applyFill="1" applyBorder="1" applyAlignment="1" applyProtection="1">
      <alignment horizontal="center" vertical="top" wrapText="1"/>
    </xf>
    <xf numFmtId="0" fontId="4" fillId="2" borderId="0" xfId="4" applyFont="1" applyFill="1" applyBorder="1" applyAlignment="1" applyProtection="1">
      <alignment horizontal="center" vertical="top" wrapText="1"/>
    </xf>
    <xf numFmtId="2" fontId="2" fillId="2" borderId="2" xfId="4" applyNumberFormat="1" applyFont="1" applyFill="1" applyBorder="1" applyAlignment="1" applyProtection="1">
      <alignment vertical="top"/>
    </xf>
    <xf numFmtId="0" fontId="2" fillId="2" borderId="0" xfId="4" applyFont="1" applyFill="1" applyBorder="1" applyAlignment="1" applyProtection="1">
      <alignment horizontal="center" vertical="top"/>
    </xf>
    <xf numFmtId="170" fontId="4" fillId="2" borderId="2" xfId="4" applyNumberFormat="1" applyFont="1" applyFill="1" applyBorder="1" applyAlignment="1" applyProtection="1">
      <alignment vertical="top" wrapText="1"/>
    </xf>
    <xf numFmtId="0" fontId="4" fillId="2" borderId="2" xfId="10" applyFont="1" applyFill="1" applyBorder="1" applyAlignment="1" applyProtection="1">
      <alignment horizontal="left" vertical="top" wrapText="1"/>
    </xf>
    <xf numFmtId="0" fontId="4" fillId="2" borderId="5" xfId="10" applyFont="1" applyFill="1" applyBorder="1" applyAlignment="1" applyProtection="1">
      <alignment horizontal="left" vertical="top" wrapText="1"/>
    </xf>
    <xf numFmtId="0" fontId="4" fillId="2" borderId="5" xfId="10" applyFont="1" applyFill="1" applyBorder="1" applyAlignment="1" applyProtection="1">
      <alignment horizontal="center" vertical="center"/>
    </xf>
    <xf numFmtId="0" fontId="4" fillId="2" borderId="2" xfId="4" applyFont="1" applyFill="1" applyBorder="1" applyAlignment="1" applyProtection="1">
      <alignment horizontal="center" vertical="top"/>
    </xf>
    <xf numFmtId="4" fontId="3" fillId="2" borderId="2" xfId="3" applyNumberFormat="1" applyFont="1" applyFill="1" applyBorder="1" applyAlignment="1" applyProtection="1">
      <alignment vertical="top"/>
    </xf>
    <xf numFmtId="4" fontId="3" fillId="2" borderId="2" xfId="3" applyNumberFormat="1" applyFont="1" applyFill="1" applyBorder="1" applyAlignment="1" applyProtection="1">
      <alignment vertical="center"/>
    </xf>
    <xf numFmtId="0" fontId="4" fillId="2" borderId="3" xfId="4" applyFont="1" applyFill="1" applyBorder="1" applyAlignment="1" applyProtection="1">
      <alignment horizontal="center" vertical="center" wrapText="1"/>
    </xf>
    <xf numFmtId="0" fontId="4" fillId="2" borderId="3" xfId="4" applyFont="1" applyFill="1" applyBorder="1" applyAlignment="1" applyProtection="1">
      <alignment horizontal="center" vertical="top" wrapText="1"/>
    </xf>
    <xf numFmtId="4" fontId="5" fillId="2" borderId="2" xfId="0" applyNumberFormat="1" applyFont="1" applyFill="1" applyBorder="1" applyAlignment="1" applyProtection="1"/>
    <xf numFmtId="180" fontId="2" fillId="2" borderId="2" xfId="0" applyNumberFormat="1" applyFont="1" applyFill="1" applyBorder="1" applyAlignment="1" applyProtection="1">
      <alignment horizontal="right" vertical="top" wrapText="1"/>
    </xf>
    <xf numFmtId="168" fontId="2" fillId="2" borderId="2" xfId="0" applyNumberFormat="1" applyFont="1" applyFill="1" applyBorder="1" applyAlignment="1" applyProtection="1">
      <alignment horizontal="right" vertical="top" wrapText="1"/>
    </xf>
    <xf numFmtId="0" fontId="4" fillId="2" borderId="2" xfId="0" applyFont="1" applyFill="1" applyBorder="1" applyAlignment="1" applyProtection="1">
      <alignment horizontal="center" vertical="center"/>
    </xf>
    <xf numFmtId="39" fontId="4" fillId="0" borderId="5" xfId="0" applyNumberFormat="1" applyFont="1" applyFill="1" applyBorder="1" applyAlignment="1" applyProtection="1">
      <alignment horizontal="right" vertical="top" wrapText="1"/>
    </xf>
    <xf numFmtId="0" fontId="4" fillId="0" borderId="5" xfId="0" applyFont="1" applyFill="1" applyBorder="1" applyAlignment="1" applyProtection="1">
      <alignment vertical="top" wrapText="1"/>
    </xf>
    <xf numFmtId="4" fontId="4" fillId="0" borderId="5" xfId="0" applyNumberFormat="1" applyFont="1" applyFill="1" applyBorder="1" applyAlignment="1" applyProtection="1">
      <alignment wrapText="1"/>
    </xf>
    <xf numFmtId="0" fontId="4" fillId="0" borderId="5" xfId="0" applyFont="1" applyFill="1" applyBorder="1" applyAlignment="1" applyProtection="1">
      <alignment horizontal="center"/>
    </xf>
    <xf numFmtId="0" fontId="4" fillId="0" borderId="2" xfId="0" quotePrefix="1" applyFont="1" applyFill="1" applyBorder="1" applyAlignment="1" applyProtection="1">
      <alignment horizontal="left" vertical="top"/>
    </xf>
    <xf numFmtId="2" fontId="5" fillId="5" borderId="2" xfId="5" applyNumberFormat="1" applyFont="1" applyFill="1" applyBorder="1" applyAlignment="1" applyProtection="1">
      <alignment horizontal="right" vertical="top" wrapText="1"/>
    </xf>
    <xf numFmtId="0" fontId="2" fillId="5" borderId="2" xfId="4" applyFont="1" applyFill="1" applyBorder="1" applyAlignment="1" applyProtection="1">
      <alignment horizontal="center" vertical="top" wrapText="1"/>
    </xf>
    <xf numFmtId="171" fontId="5" fillId="5" borderId="2" xfId="4" applyNumberFormat="1" applyFont="1" applyFill="1" applyBorder="1" applyAlignment="1" applyProtection="1">
      <alignment horizontal="right" vertical="top" wrapText="1"/>
    </xf>
    <xf numFmtId="0" fontId="4" fillId="5" borderId="0" xfId="4" applyFont="1" applyFill="1" applyBorder="1" applyAlignment="1" applyProtection="1">
      <alignment horizontal="center" vertical="top"/>
    </xf>
    <xf numFmtId="176" fontId="4" fillId="2" borderId="2" xfId="2" applyNumberFormat="1" applyFont="1" applyFill="1" applyBorder="1" applyAlignment="1" applyProtection="1">
      <alignment horizontal="right" vertical="top" wrapText="1"/>
    </xf>
    <xf numFmtId="0" fontId="4" fillId="2" borderId="2" xfId="4" applyFont="1" applyFill="1" applyBorder="1" applyAlignment="1" applyProtection="1">
      <alignment vertical="top" wrapText="1"/>
    </xf>
    <xf numFmtId="176" fontId="2" fillId="2" borderId="2" xfId="2" applyNumberFormat="1" applyFont="1" applyFill="1" applyBorder="1" applyAlignment="1" applyProtection="1">
      <alignment horizontal="right" vertical="top" wrapText="1"/>
    </xf>
    <xf numFmtId="0" fontId="2" fillId="2" borderId="2" xfId="11" applyFont="1" applyFill="1" applyBorder="1" applyAlignment="1" applyProtection="1">
      <alignment vertical="top"/>
    </xf>
    <xf numFmtId="0" fontId="2" fillId="2" borderId="2" xfId="11" applyFont="1" applyFill="1" applyBorder="1" applyAlignment="1" applyProtection="1">
      <alignment vertical="top" wrapText="1"/>
    </xf>
    <xf numFmtId="0" fontId="4" fillId="2" borderId="2" xfId="11" applyFont="1" applyFill="1" applyBorder="1" applyAlignment="1" applyProtection="1">
      <alignment vertical="top" wrapText="1"/>
    </xf>
    <xf numFmtId="2" fontId="4" fillId="2" borderId="2" xfId="4" applyNumberFormat="1" applyFont="1" applyFill="1" applyBorder="1" applyAlignment="1" applyProtection="1">
      <alignment horizontal="right" vertical="center" wrapText="1"/>
    </xf>
    <xf numFmtId="0" fontId="4" fillId="2" borderId="0" xfId="4" applyFont="1" applyFill="1" applyBorder="1" applyAlignment="1" applyProtection="1">
      <alignment horizontal="center" vertical="center" wrapText="1"/>
    </xf>
    <xf numFmtId="1" fontId="6" fillId="4" borderId="5" xfId="5" applyNumberFormat="1" applyFont="1" applyFill="1" applyBorder="1" applyAlignment="1" applyProtection="1">
      <alignment horizontal="center" vertical="top" wrapText="1"/>
    </xf>
    <xf numFmtId="0" fontId="2" fillId="4" borderId="5" xfId="12" applyFont="1" applyFill="1" applyBorder="1" applyAlignment="1" applyProtection="1">
      <alignment horizontal="center" vertical="top" wrapText="1"/>
    </xf>
    <xf numFmtId="2" fontId="4" fillId="4" borderId="5" xfId="4" applyNumberFormat="1" applyFont="1" applyFill="1" applyBorder="1" applyAlignment="1" applyProtection="1">
      <alignment horizontal="right" vertical="top" wrapText="1"/>
    </xf>
    <xf numFmtId="0" fontId="4" fillId="4" borderId="5" xfId="4" applyFont="1" applyFill="1" applyBorder="1" applyAlignment="1" applyProtection="1">
      <alignment horizontal="center" vertical="top" wrapText="1"/>
    </xf>
    <xf numFmtId="2" fontId="6" fillId="2" borderId="2" xfId="5" applyNumberFormat="1" applyFont="1" applyFill="1" applyBorder="1" applyAlignment="1" applyProtection="1">
      <alignment horizontal="center" vertical="top" wrapText="1"/>
    </xf>
    <xf numFmtId="3" fontId="4" fillId="2" borderId="2" xfId="13" applyNumberFormat="1" applyFont="1" applyFill="1" applyBorder="1" applyAlignment="1" applyProtection="1">
      <alignment horizontal="right" vertical="top"/>
    </xf>
    <xf numFmtId="0" fontId="4" fillId="2" borderId="2" xfId="14" applyFont="1" applyFill="1" applyBorder="1" applyAlignment="1" applyProtection="1">
      <alignment vertical="top" wrapText="1"/>
    </xf>
    <xf numFmtId="4" fontId="4" fillId="2" borderId="2" xfId="13" applyNumberFormat="1" applyFont="1" applyFill="1" applyBorder="1" applyAlignment="1" applyProtection="1">
      <alignment vertical="top"/>
    </xf>
    <xf numFmtId="4" fontId="4" fillId="2" borderId="2" xfId="13" applyNumberFormat="1" applyFont="1" applyFill="1" applyBorder="1" applyAlignment="1" applyProtection="1">
      <alignment horizontal="center" vertical="top"/>
    </xf>
    <xf numFmtId="0" fontId="4" fillId="2" borderId="2" xfId="3" applyFont="1" applyFill="1" applyBorder="1" applyAlignment="1" applyProtection="1">
      <alignment horizontal="left" vertical="top" wrapText="1"/>
    </xf>
    <xf numFmtId="4" fontId="4" fillId="2" borderId="2" xfId="13" applyNumberFormat="1" applyFont="1" applyFill="1" applyBorder="1" applyAlignment="1" applyProtection="1">
      <alignment vertical="center"/>
    </xf>
    <xf numFmtId="4" fontId="4" fillId="2" borderId="2" xfId="13" applyNumberFormat="1" applyFont="1" applyFill="1" applyBorder="1" applyAlignment="1" applyProtection="1">
      <alignment horizontal="center" vertical="center"/>
    </xf>
    <xf numFmtId="0" fontId="2" fillId="4" borderId="5" xfId="12" applyNumberFormat="1" applyFont="1" applyFill="1" applyBorder="1" applyAlignment="1" applyProtection="1">
      <alignment horizontal="right" vertical="top"/>
    </xf>
    <xf numFmtId="4" fontId="4" fillId="4" borderId="5" xfId="12" applyNumberFormat="1" applyFont="1" applyFill="1" applyBorder="1" applyAlignment="1" applyProtection="1">
      <alignment vertical="top"/>
    </xf>
    <xf numFmtId="4" fontId="4" fillId="4" borderId="5" xfId="12" applyNumberFormat="1" applyFont="1" applyFill="1" applyBorder="1" applyAlignment="1" applyProtection="1">
      <alignment horizontal="center" vertical="top"/>
    </xf>
    <xf numFmtId="177" fontId="2" fillId="2" borderId="2" xfId="4" applyNumberFormat="1" applyFont="1" applyFill="1" applyBorder="1" applyAlignment="1" applyProtection="1">
      <alignment horizontal="right" vertical="top" wrapText="1"/>
    </xf>
    <xf numFmtId="0" fontId="2" fillId="2" borderId="2" xfId="3" applyNumberFormat="1" applyFont="1" applyFill="1" applyBorder="1" applyAlignment="1" applyProtection="1">
      <alignment horizontal="center" vertical="center" wrapText="1"/>
    </xf>
    <xf numFmtId="4" fontId="2" fillId="2" borderId="2" xfId="4" applyNumberFormat="1" applyFont="1" applyFill="1" applyBorder="1" applyAlignment="1" applyProtection="1">
      <alignment horizontal="right" vertical="top" wrapText="1"/>
    </xf>
    <xf numFmtId="177" fontId="2" fillId="2" borderId="3" xfId="4" applyNumberFormat="1" applyFont="1" applyFill="1" applyBorder="1" applyAlignment="1" applyProtection="1">
      <alignment horizontal="center" vertical="top"/>
    </xf>
    <xf numFmtId="167" fontId="4" fillId="4" borderId="5" xfId="2" applyNumberFormat="1" applyFont="1" applyFill="1" applyBorder="1" applyAlignment="1" applyProtection="1">
      <alignment horizontal="right" vertical="center" wrapText="1"/>
    </xf>
    <xf numFmtId="0" fontId="2" fillId="4" borderId="5" xfId="3" applyFont="1" applyFill="1" applyBorder="1" applyAlignment="1" applyProtection="1">
      <alignment horizontal="center" vertical="center"/>
    </xf>
    <xf numFmtId="166" fontId="4" fillId="4" borderId="5" xfId="2" applyFont="1" applyFill="1" applyBorder="1" applyAlignment="1" applyProtection="1">
      <alignment horizontal="right" vertical="center" wrapText="1"/>
    </xf>
    <xf numFmtId="2" fontId="4" fillId="4" borderId="5" xfId="2" applyNumberFormat="1" applyFont="1" applyFill="1" applyBorder="1" applyAlignment="1" applyProtection="1">
      <alignment horizontal="center" vertical="center" wrapText="1"/>
    </xf>
    <xf numFmtId="167" fontId="4" fillId="4" borderId="5" xfId="2" applyNumberFormat="1" applyFont="1" applyFill="1" applyBorder="1" applyAlignment="1" applyProtection="1">
      <alignment horizontal="center" vertical="center"/>
    </xf>
    <xf numFmtId="166" fontId="4" fillId="4" borderId="5" xfId="2" applyFont="1" applyFill="1" applyBorder="1" applyAlignment="1" applyProtection="1">
      <alignment horizontal="center" vertical="center"/>
    </xf>
    <xf numFmtId="166" fontId="9" fillId="4" borderId="5" xfId="2" applyFont="1" applyFill="1" applyBorder="1" applyAlignment="1" applyProtection="1">
      <alignment horizontal="center" vertical="center"/>
    </xf>
    <xf numFmtId="167" fontId="4" fillId="2" borderId="2" xfId="2" applyNumberFormat="1" applyFont="1" applyFill="1" applyBorder="1" applyAlignment="1" applyProtection="1">
      <alignment horizontal="center" vertical="top"/>
    </xf>
    <xf numFmtId="0" fontId="2" fillId="2" borderId="2" xfId="4" applyFont="1" applyFill="1" applyBorder="1" applyAlignment="1" applyProtection="1">
      <alignment horizontal="right" vertical="top"/>
    </xf>
    <xf numFmtId="166" fontId="4" fillId="2" borderId="2" xfId="2" applyFont="1" applyFill="1" applyBorder="1" applyAlignment="1" applyProtection="1">
      <alignment horizontal="center" vertical="top"/>
    </xf>
    <xf numFmtId="166" fontId="9" fillId="2" borderId="2" xfId="2" applyFont="1" applyFill="1" applyBorder="1" applyAlignment="1" applyProtection="1">
      <alignment horizontal="center" vertical="top"/>
    </xf>
    <xf numFmtId="0" fontId="4" fillId="2" borderId="2" xfId="4" applyFont="1" applyFill="1" applyBorder="1" applyAlignment="1" applyProtection="1">
      <alignment horizontal="right" vertical="top"/>
    </xf>
    <xf numFmtId="10" fontId="4" fillId="2" borderId="2" xfId="1" applyNumberFormat="1" applyFont="1" applyFill="1" applyBorder="1" applyAlignment="1" applyProtection="1">
      <alignment horizontal="right" vertical="top" wrapText="1"/>
    </xf>
    <xf numFmtId="0" fontId="4" fillId="2" borderId="2" xfId="12" applyFont="1" applyFill="1" applyBorder="1" applyAlignment="1" applyProtection="1">
      <alignment horizontal="right" vertical="top" wrapText="1"/>
    </xf>
    <xf numFmtId="0" fontId="4" fillId="2" borderId="2" xfId="3" applyFont="1" applyFill="1" applyBorder="1" applyAlignment="1" applyProtection="1">
      <alignment horizontal="right" vertical="top"/>
    </xf>
    <xf numFmtId="4" fontId="4" fillId="2" borderId="2" xfId="2" applyNumberFormat="1" applyFont="1" applyFill="1" applyBorder="1" applyAlignment="1" applyProtection="1">
      <alignment horizontal="right" vertical="top"/>
    </xf>
    <xf numFmtId="0" fontId="2" fillId="2" borderId="2" xfId="4" applyFont="1" applyFill="1" applyBorder="1" applyAlignment="1" applyProtection="1">
      <alignment horizontal="right" vertical="top" wrapText="1"/>
    </xf>
    <xf numFmtId="0" fontId="4" fillId="2" borderId="2" xfId="3" applyFont="1" applyFill="1" applyBorder="1" applyAlignment="1" applyProtection="1">
      <alignment vertical="top"/>
    </xf>
    <xf numFmtId="167" fontId="4" fillId="4" borderId="1" xfId="2" applyNumberFormat="1" applyFont="1" applyFill="1" applyBorder="1" applyAlignment="1" applyProtection="1">
      <alignment horizontal="center" vertical="top"/>
    </xf>
    <xf numFmtId="0" fontId="2" fillId="4" borderId="1" xfId="4" applyFont="1" applyFill="1" applyBorder="1" applyAlignment="1" applyProtection="1">
      <alignment horizontal="right" vertical="top" wrapText="1"/>
    </xf>
    <xf numFmtId="166" fontId="4" fillId="4" borderId="1" xfId="2" applyFont="1" applyFill="1" applyBorder="1" applyAlignment="1" applyProtection="1">
      <alignment horizontal="center" vertical="top"/>
    </xf>
    <xf numFmtId="166" fontId="9" fillId="4" borderId="1" xfId="2" applyFont="1" applyFill="1" applyBorder="1" applyAlignment="1" applyProtection="1">
      <alignment horizontal="center" vertical="top"/>
    </xf>
    <xf numFmtId="167" fontId="4" fillId="2" borderId="4" xfId="2" applyNumberFormat="1" applyFont="1" applyFill="1" applyBorder="1" applyAlignment="1" applyProtection="1">
      <alignment horizontal="center" vertical="top"/>
    </xf>
    <xf numFmtId="0" fontId="4" fillId="2" borderId="0" xfId="3" applyFont="1" applyFill="1" applyBorder="1" applyAlignment="1" applyProtection="1">
      <alignment vertical="top"/>
    </xf>
    <xf numFmtId="166" fontId="4" fillId="2" borderId="0" xfId="2" applyFont="1" applyFill="1" applyBorder="1" applyAlignment="1" applyProtection="1">
      <alignment horizontal="center" vertical="top"/>
    </xf>
    <xf numFmtId="166" fontId="9" fillId="2" borderId="0" xfId="2" applyFont="1" applyFill="1" applyBorder="1" applyAlignment="1" applyProtection="1">
      <alignment horizontal="center" vertical="top"/>
    </xf>
    <xf numFmtId="167" fontId="4" fillId="5" borderId="1" xfId="2" applyNumberFormat="1" applyFont="1" applyFill="1" applyBorder="1" applyAlignment="1" applyProtection="1">
      <alignment horizontal="center" vertical="top"/>
    </xf>
    <xf numFmtId="0" fontId="2" fillId="5" borderId="1" xfId="4" applyFont="1" applyFill="1" applyBorder="1" applyAlignment="1" applyProtection="1">
      <alignment horizontal="right" vertical="top" wrapText="1"/>
    </xf>
    <xf numFmtId="166" fontId="4" fillId="5" borderId="1" xfId="2" applyFont="1" applyFill="1" applyBorder="1" applyAlignment="1" applyProtection="1">
      <alignment horizontal="center" vertical="top"/>
    </xf>
    <xf numFmtId="166" fontId="9" fillId="5" borderId="1" xfId="2" applyFont="1" applyFill="1" applyBorder="1" applyAlignment="1" applyProtection="1">
      <alignment horizontal="center" vertical="top"/>
    </xf>
    <xf numFmtId="0" fontId="2" fillId="2" borderId="0" xfId="3" applyFont="1" applyFill="1" applyBorder="1" applyAlignment="1" applyProtection="1">
      <alignment horizontal="center" vertical="center"/>
      <protection locked="0"/>
    </xf>
    <xf numFmtId="0" fontId="4" fillId="2" borderId="0" xfId="18" applyNumberFormat="1" applyFont="1" applyFill="1" applyBorder="1" applyAlignment="1">
      <alignment horizontal="left" vertical="top"/>
    </xf>
    <xf numFmtId="0" fontId="4" fillId="2" borderId="0" xfId="11" applyFont="1" applyFill="1" applyBorder="1" applyAlignment="1">
      <alignment horizontal="center" vertical="top" wrapText="1"/>
    </xf>
    <xf numFmtId="0" fontId="4" fillId="2" borderId="0" xfId="11" applyFont="1" applyFill="1" applyBorder="1" applyAlignment="1">
      <alignment horizontal="center" vertical="top"/>
    </xf>
    <xf numFmtId="0" fontId="4" fillId="2" borderId="0" xfId="3" applyFont="1" applyFill="1" applyBorder="1" applyAlignment="1" applyProtection="1">
      <alignment horizontal="left" vertical="center" wrapText="1"/>
      <protection locked="0"/>
    </xf>
    <xf numFmtId="0" fontId="4" fillId="2" borderId="0" xfId="3" applyFont="1" applyFill="1" applyBorder="1" applyAlignment="1" applyProtection="1">
      <alignment horizontal="center" vertical="center" wrapText="1"/>
      <protection locked="0"/>
    </xf>
    <xf numFmtId="0" fontId="2" fillId="2" borderId="0" xfId="0" applyFont="1" applyFill="1" applyBorder="1" applyAlignment="1">
      <alignment horizontal="center" vertical="top"/>
    </xf>
    <xf numFmtId="0" fontId="4" fillId="2" borderId="0" xfId="3" applyFont="1" applyFill="1" applyBorder="1" applyAlignment="1" applyProtection="1">
      <alignment horizontal="left" vertical="top" wrapText="1"/>
      <protection locked="0"/>
    </xf>
    <xf numFmtId="0" fontId="6" fillId="8" borderId="0" xfId="23" applyFont="1" applyFill="1" applyBorder="1" applyAlignment="1">
      <alignment horizontal="center"/>
    </xf>
    <xf numFmtId="0" fontId="18" fillId="7" borderId="0" xfId="23" applyFont="1" applyFill="1" applyBorder="1" applyAlignment="1">
      <alignment horizontal="center"/>
    </xf>
    <xf numFmtId="0" fontId="14" fillId="6" borderId="0" xfId="23" applyFont="1" applyFill="1" applyBorder="1" applyAlignment="1">
      <alignment horizontal="center"/>
    </xf>
    <xf numFmtId="0" fontId="15" fillId="6" borderId="0" xfId="23" applyFont="1" applyFill="1" applyBorder="1" applyAlignment="1">
      <alignment horizontal="center"/>
    </xf>
    <xf numFmtId="0" fontId="2" fillId="6" borderId="0" xfId="23" applyFont="1" applyFill="1" applyBorder="1" applyAlignment="1">
      <alignment horizontal="center"/>
    </xf>
    <xf numFmtId="0" fontId="16" fillId="6" borderId="0" xfId="23" applyFont="1" applyFill="1" applyBorder="1" applyAlignment="1">
      <alignment horizontal="left"/>
    </xf>
    <xf numFmtId="0" fontId="4" fillId="6" borderId="9" xfId="23" applyFont="1" applyFill="1" applyBorder="1" applyAlignment="1">
      <alignment horizontal="left"/>
    </xf>
    <xf numFmtId="0" fontId="18" fillId="7" borderId="9" xfId="23" applyFont="1" applyFill="1" applyBorder="1" applyAlignment="1">
      <alignment horizontal="center" vertical="center" wrapText="1"/>
    </xf>
    <xf numFmtId="4" fontId="2" fillId="6" borderId="7" xfId="4" applyNumberFormat="1" applyFont="1" applyFill="1" applyBorder="1" applyAlignment="1">
      <alignment horizontal="right"/>
    </xf>
    <xf numFmtId="0" fontId="46" fillId="8" borderId="0" xfId="23" applyFont="1" applyFill="1" applyBorder="1" applyAlignment="1">
      <alignment horizontal="center"/>
    </xf>
    <xf numFmtId="0" fontId="6" fillId="8" borderId="0" xfId="23" applyFont="1" applyFill="1" applyBorder="1" applyAlignment="1">
      <alignment horizontal="center" vertical="center" wrapText="1"/>
    </xf>
    <xf numFmtId="0" fontId="2" fillId="2" borderId="24" xfId="4" applyFont="1" applyFill="1" applyBorder="1" applyAlignment="1">
      <alignment horizontal="right" vertical="top"/>
    </xf>
    <xf numFmtId="0" fontId="5" fillId="6" borderId="7" xfId="23" applyFont="1" applyFill="1" applyBorder="1" applyAlignment="1">
      <alignment vertical="top" wrapText="1"/>
    </xf>
    <xf numFmtId="0" fontId="3" fillId="0" borderId="43" xfId="45" applyBorder="1" applyAlignment="1">
      <alignment vertical="top" wrapText="1"/>
    </xf>
    <xf numFmtId="0" fontId="27" fillId="7" borderId="0" xfId="23" applyFont="1" applyFill="1" applyAlignment="1">
      <alignment horizontal="center"/>
    </xf>
    <xf numFmtId="0" fontId="5" fillId="5" borderId="1" xfId="23" applyFont="1" applyFill="1" applyBorder="1" applyAlignment="1">
      <alignment horizontal="center"/>
    </xf>
    <xf numFmtId="0" fontId="2" fillId="6" borderId="9" xfId="43" applyFont="1" applyFill="1" applyBorder="1" applyAlignment="1">
      <alignment horizontal="left" vertical="top"/>
    </xf>
    <xf numFmtId="0" fontId="2" fillId="6" borderId="0" xfId="43" applyFont="1" applyFill="1" applyBorder="1" applyAlignment="1">
      <alignment horizontal="left" vertical="top"/>
    </xf>
    <xf numFmtId="0" fontId="18" fillId="7" borderId="0" xfId="23" applyFont="1" applyFill="1" applyBorder="1" applyAlignment="1">
      <alignment horizontal="center" vertical="top"/>
    </xf>
  </cellXfs>
  <cellStyles count="56">
    <cellStyle name="Comma 3" xfId="44" xr:uid="{00000000-0005-0000-0000-000000000000}"/>
    <cellStyle name="Comma 4" xfId="2" xr:uid="{00000000-0005-0000-0000-000001000000}"/>
    <cellStyle name="Comma_ANALISIS EL PUERTO" xfId="25" xr:uid="{00000000-0005-0000-0000-000002000000}"/>
    <cellStyle name="Comma_ANALISIS EL PUERTO 3" xfId="52" xr:uid="{00000000-0005-0000-0000-000003000000}"/>
    <cellStyle name="Comma_ANALISIS EL PUERTO_PRES. 62-08 ACUEDUCTO SABANA YEGUA Y TABARA ABAJO, AZUA (desenlazado) 2" xfId="31" xr:uid="{00000000-0005-0000-0000-000004000000}"/>
    <cellStyle name="Millares" xfId="20" builtinId="3"/>
    <cellStyle name="Millares 10" xfId="21" xr:uid="{00000000-0005-0000-0000-000006000000}"/>
    <cellStyle name="Millares 11" xfId="22" xr:uid="{00000000-0005-0000-0000-000007000000}"/>
    <cellStyle name="Millares 2" xfId="15" xr:uid="{00000000-0005-0000-0000-000008000000}"/>
    <cellStyle name="Millares 2 2 2" xfId="8" xr:uid="{00000000-0005-0000-0000-000009000000}"/>
    <cellStyle name="Millares 2_XXXCopia de Pres. elab. no. 24-12  Terrm. ampliacion Ac. Monte Plata" xfId="17" xr:uid="{00000000-0005-0000-0000-00000A000000}"/>
    <cellStyle name="Millares 3" xfId="7" xr:uid="{00000000-0005-0000-0000-00000B000000}"/>
    <cellStyle name="Millares 4" xfId="46" xr:uid="{00000000-0005-0000-0000-00000C000000}"/>
    <cellStyle name="Millares 5 3" xfId="5" xr:uid="{00000000-0005-0000-0000-00000D000000}"/>
    <cellStyle name="Millares_114-08 PRESUP. ADICIONALES OBRA DE TOMA RIO SOCO SAN PEDRO" xfId="40" xr:uid="{00000000-0005-0000-0000-00000E000000}"/>
    <cellStyle name="Millares_Analisis  ACUEDUCTO VILLA GONZALEZ" xfId="48" xr:uid="{00000000-0005-0000-0000-00000F000000}"/>
    <cellStyle name="Millares_analisis el pino junumucú 2" xfId="29" xr:uid="{00000000-0005-0000-0000-000010000000}"/>
    <cellStyle name="Millares_analisis el pino junumucú 3" xfId="53" xr:uid="{00000000-0005-0000-0000-000011000000}"/>
    <cellStyle name="Millares_CUB04 F.N. AC.VILLA BAO" xfId="27" xr:uid="{00000000-0005-0000-0000-000012000000}"/>
    <cellStyle name="Millares_desgloses de PA" xfId="36" xr:uid="{00000000-0005-0000-0000-000013000000}"/>
    <cellStyle name="Millares_mejoramiento instalaciones fisicas ac. guanito, sabana alta. (version 1)" xfId="50" xr:uid="{00000000-0005-0000-0000-000014000000}"/>
    <cellStyle name="Millares_planta cayetano germosen" xfId="32" xr:uid="{00000000-0005-0000-0000-000015000000}"/>
    <cellStyle name="Millares_PLANTA TRATAMIENTO DE TIREO CONSTANZA" xfId="38" xr:uid="{00000000-0005-0000-0000-000016000000}"/>
    <cellStyle name="Millares_PRES. PTA. TRAT. COSTA SUR DOM., S.A. maria para ana 2" xfId="34" xr:uid="{00000000-0005-0000-0000-000017000000}"/>
    <cellStyle name="Millares_rec 1#57-06  al 160-05 2da. terminacion ac. carenero, villa clara, juana vicenta y los cocos" xfId="51" xr:uid="{00000000-0005-0000-0000-000018000000}"/>
    <cellStyle name="Millares_rec. 1 al 314-04 ac. mult. sabana larga-hato viejo-potroso 2" xfId="24" xr:uid="{00000000-0005-0000-0000-000019000000}"/>
    <cellStyle name="Millares_rec. 77-05  #1  53-05Terminacionl  acueducto de Corral Grande, Partido y Mariano Cestero" xfId="33" xr:uid="{00000000-0005-0000-0000-00001A000000}"/>
    <cellStyle name="Millares_rec.No.57-03 481-01 alc.sanitario del seibo red colectora y pta. trat. #2" xfId="9" xr:uid="{00000000-0005-0000-0000-00001B000000}"/>
    <cellStyle name="Normal" xfId="0" builtinId="0"/>
    <cellStyle name="Normal 10 2" xfId="14" xr:uid="{00000000-0005-0000-0000-00001D000000}"/>
    <cellStyle name="Normal 13 2" xfId="4" xr:uid="{00000000-0005-0000-0000-00001E000000}"/>
    <cellStyle name="Normal 2 2" xfId="6" xr:uid="{00000000-0005-0000-0000-00001F000000}"/>
    <cellStyle name="Normal 2 2 2" xfId="16" xr:uid="{00000000-0005-0000-0000-000020000000}"/>
    <cellStyle name="Normal 2 3" xfId="11" xr:uid="{00000000-0005-0000-0000-000021000000}"/>
    <cellStyle name="Normal 37" xfId="55" xr:uid="{00000000-0005-0000-0000-000022000000}"/>
    <cellStyle name="Normal 4" xfId="45" xr:uid="{00000000-0005-0000-0000-000023000000}"/>
    <cellStyle name="Normal 5" xfId="3" xr:uid="{00000000-0005-0000-0000-000024000000}"/>
    <cellStyle name="Normal 85" xfId="47" xr:uid="{00000000-0005-0000-0000-000025000000}"/>
    <cellStyle name="Normal 9" xfId="19" xr:uid="{00000000-0005-0000-0000-000026000000}"/>
    <cellStyle name="Normal_126-05 terminacion alc. sant. juan dolio y guayacanes parte b" xfId="49" xr:uid="{00000000-0005-0000-0000-000027000000}"/>
    <cellStyle name="Normal_158-09 TERMINACION AC. LA GINA" xfId="18" xr:uid="{00000000-0005-0000-0000-000028000000}"/>
    <cellStyle name="Normal_ACUEDUCTO DE GUANITO PARTE A" xfId="41" xr:uid="{00000000-0005-0000-0000-000029000000}"/>
    <cellStyle name="Normal_ACUEDUCTO HATO VIEJO-LOS AMACEYES PARTE A" xfId="42" xr:uid="{00000000-0005-0000-0000-00002A000000}"/>
    <cellStyle name="Normal_ANALISIS APLICACION DE ASFALTO Y VERJA COMBINADA PLANTA DE TRAT. (PARA PROYECTO VICTOR)" xfId="43" xr:uid="{00000000-0005-0000-0000-00002B000000}"/>
    <cellStyle name="Normal_ANALISIS EL POZO LOS LIMONES-maria" xfId="54" xr:uid="{00000000-0005-0000-0000-00002C000000}"/>
    <cellStyle name="Normal_ANALISIS EL PUERTO 2" xfId="23" xr:uid="{00000000-0005-0000-0000-00002D000000}"/>
    <cellStyle name="Normal_CARCAMO SAN PEDRO" xfId="13" xr:uid="{00000000-0005-0000-0000-00002E000000}"/>
    <cellStyle name="Normal_Copia de Analisis PARA PRESUPUESTO OBRAS PUBLICA df enero 2004" xfId="28" xr:uid="{00000000-0005-0000-0000-00002F000000}"/>
    <cellStyle name="Normal_Copia de Rec. no.2 294-04 (del pres. modificado)   Ac. santana catalina parte A" xfId="39" xr:uid="{00000000-0005-0000-0000-000030000000}"/>
    <cellStyle name="Normal_CUB04 F.N. AC.VILLA BAO" xfId="26" xr:uid="{00000000-0005-0000-0000-000031000000}"/>
    <cellStyle name="Normal_MODIFIC. 1  al pres 01-09  Termin Acueducto de Loma de Cabrera" xfId="30" xr:uid="{00000000-0005-0000-0000-000032000000}"/>
    <cellStyle name="Normal_PLANTA TRATAMIENTO DE TIREO CONSTANZA" xfId="37" xr:uid="{00000000-0005-0000-0000-000033000000}"/>
    <cellStyle name="Normal_PRESUPUESTO" xfId="10" xr:uid="{00000000-0005-0000-0000-000034000000}"/>
    <cellStyle name="Normal_Presupuesto Terminaciones Edificio Mantenimiento Nave I " xfId="12" xr:uid="{00000000-0005-0000-0000-000035000000}"/>
    <cellStyle name="Normal_rec. 1 al 314-04 ac. mult. sabana larga-hato viejo-potroso" xfId="35" xr:uid="{00000000-0005-0000-0000-000036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haredStrings" Target="sharedStrings.xml"/><Relationship Id="rId8"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oneCellAnchor>
    <xdr:from>
      <xdr:col>1</xdr:col>
      <xdr:colOff>2438400</xdr:colOff>
      <xdr:row>11</xdr:row>
      <xdr:rowOff>0</xdr:rowOff>
    </xdr:from>
    <xdr:ext cx="0" cy="152400"/>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 name="Text Box 32">
          <a:extLst>
            <a:ext uri="{FF2B5EF4-FFF2-40B4-BE49-F238E27FC236}">
              <a16:creationId xmlns:a16="http://schemas.microsoft.com/office/drawing/2014/main" id="{00000000-0008-0000-0100-000003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 name="Text Box 63">
          <a:extLst>
            <a:ext uri="{FF2B5EF4-FFF2-40B4-BE49-F238E27FC236}">
              <a16:creationId xmlns:a16="http://schemas.microsoft.com/office/drawing/2014/main" id="{00000000-0008-0000-0100-000005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 name="Text Box 3">
          <a:extLst>
            <a:ext uri="{FF2B5EF4-FFF2-40B4-BE49-F238E27FC236}">
              <a16:creationId xmlns:a16="http://schemas.microsoft.com/office/drawing/2014/main" id="{00000000-0008-0000-0100-000006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 name="Text Box 32">
          <a:extLst>
            <a:ext uri="{FF2B5EF4-FFF2-40B4-BE49-F238E27FC236}">
              <a16:creationId xmlns:a16="http://schemas.microsoft.com/office/drawing/2014/main" id="{00000000-0008-0000-0100-000007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 name="Text Box 3">
          <a:extLst>
            <a:ext uri="{FF2B5EF4-FFF2-40B4-BE49-F238E27FC236}">
              <a16:creationId xmlns:a16="http://schemas.microsoft.com/office/drawing/2014/main" id="{00000000-0008-0000-0100-000008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 name="Text Box 63">
          <a:extLst>
            <a:ext uri="{FF2B5EF4-FFF2-40B4-BE49-F238E27FC236}">
              <a16:creationId xmlns:a16="http://schemas.microsoft.com/office/drawing/2014/main" id="{00000000-0008-0000-0100-000009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 name="Text Box 3">
          <a:extLst>
            <a:ext uri="{FF2B5EF4-FFF2-40B4-BE49-F238E27FC236}">
              <a16:creationId xmlns:a16="http://schemas.microsoft.com/office/drawing/2014/main" id="{00000000-0008-0000-0100-00000A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 name="Text Box 32">
          <a:extLst>
            <a:ext uri="{FF2B5EF4-FFF2-40B4-BE49-F238E27FC236}">
              <a16:creationId xmlns:a16="http://schemas.microsoft.com/office/drawing/2014/main" id="{00000000-0008-0000-0100-00000B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 name="Text Box 3">
          <a:extLst>
            <a:ext uri="{FF2B5EF4-FFF2-40B4-BE49-F238E27FC236}">
              <a16:creationId xmlns:a16="http://schemas.microsoft.com/office/drawing/2014/main" id="{00000000-0008-0000-0100-00000C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 name="Text Box 63">
          <a:extLst>
            <a:ext uri="{FF2B5EF4-FFF2-40B4-BE49-F238E27FC236}">
              <a16:creationId xmlns:a16="http://schemas.microsoft.com/office/drawing/2014/main" id="{00000000-0008-0000-0100-00000D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 name="Text Box 3">
          <a:extLst>
            <a:ext uri="{FF2B5EF4-FFF2-40B4-BE49-F238E27FC236}">
              <a16:creationId xmlns:a16="http://schemas.microsoft.com/office/drawing/2014/main" id="{00000000-0008-0000-0100-00000E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 name="Text Box 32">
          <a:extLst>
            <a:ext uri="{FF2B5EF4-FFF2-40B4-BE49-F238E27FC236}">
              <a16:creationId xmlns:a16="http://schemas.microsoft.com/office/drawing/2014/main" id="{00000000-0008-0000-0100-00000F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 name="Text Box 3">
          <a:extLst>
            <a:ext uri="{FF2B5EF4-FFF2-40B4-BE49-F238E27FC236}">
              <a16:creationId xmlns:a16="http://schemas.microsoft.com/office/drawing/2014/main" id="{00000000-0008-0000-0100-000010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 name="Text Box 63">
          <a:extLst>
            <a:ext uri="{FF2B5EF4-FFF2-40B4-BE49-F238E27FC236}">
              <a16:creationId xmlns:a16="http://schemas.microsoft.com/office/drawing/2014/main" id="{00000000-0008-0000-0100-000011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 name="Text Box 3">
          <a:extLst>
            <a:ext uri="{FF2B5EF4-FFF2-40B4-BE49-F238E27FC236}">
              <a16:creationId xmlns:a16="http://schemas.microsoft.com/office/drawing/2014/main" id="{00000000-0008-0000-0100-000012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 name="Text Box 32">
          <a:extLst>
            <a:ext uri="{FF2B5EF4-FFF2-40B4-BE49-F238E27FC236}">
              <a16:creationId xmlns:a16="http://schemas.microsoft.com/office/drawing/2014/main" id="{00000000-0008-0000-0100-000013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 name="Text Box 3">
          <a:extLst>
            <a:ext uri="{FF2B5EF4-FFF2-40B4-BE49-F238E27FC236}">
              <a16:creationId xmlns:a16="http://schemas.microsoft.com/office/drawing/2014/main" id="{00000000-0008-0000-0100-000014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 name="Text Box 63">
          <a:extLst>
            <a:ext uri="{FF2B5EF4-FFF2-40B4-BE49-F238E27FC236}">
              <a16:creationId xmlns:a16="http://schemas.microsoft.com/office/drawing/2014/main" id="{00000000-0008-0000-0100-000015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 name="Text Box 3">
          <a:extLst>
            <a:ext uri="{FF2B5EF4-FFF2-40B4-BE49-F238E27FC236}">
              <a16:creationId xmlns:a16="http://schemas.microsoft.com/office/drawing/2014/main" id="{00000000-0008-0000-0100-000016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 name="Text Box 32">
          <a:extLst>
            <a:ext uri="{FF2B5EF4-FFF2-40B4-BE49-F238E27FC236}">
              <a16:creationId xmlns:a16="http://schemas.microsoft.com/office/drawing/2014/main" id="{00000000-0008-0000-0100-000017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 name="Text Box 3">
          <a:extLst>
            <a:ext uri="{FF2B5EF4-FFF2-40B4-BE49-F238E27FC236}">
              <a16:creationId xmlns:a16="http://schemas.microsoft.com/office/drawing/2014/main" id="{00000000-0008-0000-0100-000018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 name="Text Box 63">
          <a:extLst>
            <a:ext uri="{FF2B5EF4-FFF2-40B4-BE49-F238E27FC236}">
              <a16:creationId xmlns:a16="http://schemas.microsoft.com/office/drawing/2014/main" id="{00000000-0008-0000-0100-000019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 name="Text Box 3">
          <a:extLst>
            <a:ext uri="{FF2B5EF4-FFF2-40B4-BE49-F238E27FC236}">
              <a16:creationId xmlns:a16="http://schemas.microsoft.com/office/drawing/2014/main" id="{00000000-0008-0000-0100-00001A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 name="Text Box 32">
          <a:extLst>
            <a:ext uri="{FF2B5EF4-FFF2-40B4-BE49-F238E27FC236}">
              <a16:creationId xmlns:a16="http://schemas.microsoft.com/office/drawing/2014/main" id="{00000000-0008-0000-0100-00001B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 name="Text Box 3">
          <a:extLst>
            <a:ext uri="{FF2B5EF4-FFF2-40B4-BE49-F238E27FC236}">
              <a16:creationId xmlns:a16="http://schemas.microsoft.com/office/drawing/2014/main" id="{00000000-0008-0000-0100-00001C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 name="Text Box 63">
          <a:extLst>
            <a:ext uri="{FF2B5EF4-FFF2-40B4-BE49-F238E27FC236}">
              <a16:creationId xmlns:a16="http://schemas.microsoft.com/office/drawing/2014/main" id="{00000000-0008-0000-0100-00001D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1" name="Text Box 32">
          <a:extLst>
            <a:ext uri="{FF2B5EF4-FFF2-40B4-BE49-F238E27FC236}">
              <a16:creationId xmlns:a16="http://schemas.microsoft.com/office/drawing/2014/main" id="{00000000-0008-0000-0100-00001F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2" name="Text Box 3">
          <a:extLst>
            <a:ext uri="{FF2B5EF4-FFF2-40B4-BE49-F238E27FC236}">
              <a16:creationId xmlns:a16="http://schemas.microsoft.com/office/drawing/2014/main" id="{00000000-0008-0000-0100-000020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3" name="Text Box 63">
          <a:extLst>
            <a:ext uri="{FF2B5EF4-FFF2-40B4-BE49-F238E27FC236}">
              <a16:creationId xmlns:a16="http://schemas.microsoft.com/office/drawing/2014/main" id="{00000000-0008-0000-0100-000021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4" name="Text Box 3">
          <a:extLst>
            <a:ext uri="{FF2B5EF4-FFF2-40B4-BE49-F238E27FC236}">
              <a16:creationId xmlns:a16="http://schemas.microsoft.com/office/drawing/2014/main" id="{00000000-0008-0000-0100-000022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5" name="Text Box 32">
          <a:extLst>
            <a:ext uri="{FF2B5EF4-FFF2-40B4-BE49-F238E27FC236}">
              <a16:creationId xmlns:a16="http://schemas.microsoft.com/office/drawing/2014/main" id="{00000000-0008-0000-0100-000023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6" name="Text Box 3">
          <a:extLst>
            <a:ext uri="{FF2B5EF4-FFF2-40B4-BE49-F238E27FC236}">
              <a16:creationId xmlns:a16="http://schemas.microsoft.com/office/drawing/2014/main" id="{00000000-0008-0000-0100-000024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7" name="Text Box 63">
          <a:extLst>
            <a:ext uri="{FF2B5EF4-FFF2-40B4-BE49-F238E27FC236}">
              <a16:creationId xmlns:a16="http://schemas.microsoft.com/office/drawing/2014/main" id="{00000000-0008-0000-0100-000025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8" name="Text Box 3">
          <a:extLst>
            <a:ext uri="{FF2B5EF4-FFF2-40B4-BE49-F238E27FC236}">
              <a16:creationId xmlns:a16="http://schemas.microsoft.com/office/drawing/2014/main" id="{00000000-0008-0000-0100-000026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9"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0" name="Text Box 3">
          <a:extLst>
            <a:ext uri="{FF2B5EF4-FFF2-40B4-BE49-F238E27FC236}">
              <a16:creationId xmlns:a16="http://schemas.microsoft.com/office/drawing/2014/main" id="{00000000-0008-0000-0100-000028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1" name="Text Box 63">
          <a:extLst>
            <a:ext uri="{FF2B5EF4-FFF2-40B4-BE49-F238E27FC236}">
              <a16:creationId xmlns:a16="http://schemas.microsoft.com/office/drawing/2014/main" id="{00000000-0008-0000-0100-000029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2" name="Text Box 3">
          <a:extLst>
            <a:ext uri="{FF2B5EF4-FFF2-40B4-BE49-F238E27FC236}">
              <a16:creationId xmlns:a16="http://schemas.microsoft.com/office/drawing/2014/main" id="{00000000-0008-0000-0100-00002A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3" name="Text Box 32">
          <a:extLst>
            <a:ext uri="{FF2B5EF4-FFF2-40B4-BE49-F238E27FC236}">
              <a16:creationId xmlns:a16="http://schemas.microsoft.com/office/drawing/2014/main" id="{00000000-0008-0000-0100-00002B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4" name="Text Box 3">
          <a:extLst>
            <a:ext uri="{FF2B5EF4-FFF2-40B4-BE49-F238E27FC236}">
              <a16:creationId xmlns:a16="http://schemas.microsoft.com/office/drawing/2014/main" id="{00000000-0008-0000-0100-00002C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5" name="Text Box 63">
          <a:extLst>
            <a:ext uri="{FF2B5EF4-FFF2-40B4-BE49-F238E27FC236}">
              <a16:creationId xmlns:a16="http://schemas.microsoft.com/office/drawing/2014/main" id="{00000000-0008-0000-0100-00002D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6" name="Text Box 3">
          <a:extLst>
            <a:ext uri="{FF2B5EF4-FFF2-40B4-BE49-F238E27FC236}">
              <a16:creationId xmlns:a16="http://schemas.microsoft.com/office/drawing/2014/main" id="{00000000-0008-0000-0100-00002E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7" name="Text Box 32">
          <a:extLst>
            <a:ext uri="{FF2B5EF4-FFF2-40B4-BE49-F238E27FC236}">
              <a16:creationId xmlns:a16="http://schemas.microsoft.com/office/drawing/2014/main" id="{00000000-0008-0000-0100-00002F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8" name="Text Box 3">
          <a:extLst>
            <a:ext uri="{FF2B5EF4-FFF2-40B4-BE49-F238E27FC236}">
              <a16:creationId xmlns:a16="http://schemas.microsoft.com/office/drawing/2014/main" id="{00000000-0008-0000-0100-000030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9" name="Text Box 63">
          <a:extLst>
            <a:ext uri="{FF2B5EF4-FFF2-40B4-BE49-F238E27FC236}">
              <a16:creationId xmlns:a16="http://schemas.microsoft.com/office/drawing/2014/main" id="{00000000-0008-0000-0100-000031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0" name="Text Box 3">
          <a:extLst>
            <a:ext uri="{FF2B5EF4-FFF2-40B4-BE49-F238E27FC236}">
              <a16:creationId xmlns:a16="http://schemas.microsoft.com/office/drawing/2014/main" id="{00000000-0008-0000-0100-000032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1" name="Text Box 32">
          <a:extLst>
            <a:ext uri="{FF2B5EF4-FFF2-40B4-BE49-F238E27FC236}">
              <a16:creationId xmlns:a16="http://schemas.microsoft.com/office/drawing/2014/main" id="{00000000-0008-0000-0100-000033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2" name="Text Box 3">
          <a:extLst>
            <a:ext uri="{FF2B5EF4-FFF2-40B4-BE49-F238E27FC236}">
              <a16:creationId xmlns:a16="http://schemas.microsoft.com/office/drawing/2014/main" id="{00000000-0008-0000-0100-000034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3" name="Text Box 63">
          <a:extLst>
            <a:ext uri="{FF2B5EF4-FFF2-40B4-BE49-F238E27FC236}">
              <a16:creationId xmlns:a16="http://schemas.microsoft.com/office/drawing/2014/main" id="{00000000-0008-0000-0100-000035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4" name="Text Box 3">
          <a:extLst>
            <a:ext uri="{FF2B5EF4-FFF2-40B4-BE49-F238E27FC236}">
              <a16:creationId xmlns:a16="http://schemas.microsoft.com/office/drawing/2014/main" id="{00000000-0008-0000-0100-000036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5" name="Text Box 32">
          <a:extLst>
            <a:ext uri="{FF2B5EF4-FFF2-40B4-BE49-F238E27FC236}">
              <a16:creationId xmlns:a16="http://schemas.microsoft.com/office/drawing/2014/main" id="{00000000-0008-0000-0100-000037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6" name="Text Box 3">
          <a:extLst>
            <a:ext uri="{FF2B5EF4-FFF2-40B4-BE49-F238E27FC236}">
              <a16:creationId xmlns:a16="http://schemas.microsoft.com/office/drawing/2014/main" id="{00000000-0008-0000-0100-000038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7" name="Text Box 63">
          <a:extLst>
            <a:ext uri="{FF2B5EF4-FFF2-40B4-BE49-F238E27FC236}">
              <a16:creationId xmlns:a16="http://schemas.microsoft.com/office/drawing/2014/main" id="{00000000-0008-0000-0100-000039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8" name="Text Box 3">
          <a:extLst>
            <a:ext uri="{FF2B5EF4-FFF2-40B4-BE49-F238E27FC236}">
              <a16:creationId xmlns:a16="http://schemas.microsoft.com/office/drawing/2014/main" id="{00000000-0008-0000-0100-00003A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9" name="Text Box 32">
          <a:extLst>
            <a:ext uri="{FF2B5EF4-FFF2-40B4-BE49-F238E27FC236}">
              <a16:creationId xmlns:a16="http://schemas.microsoft.com/office/drawing/2014/main" id="{00000000-0008-0000-0100-00003B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0" name="Text Box 3">
          <a:extLst>
            <a:ext uri="{FF2B5EF4-FFF2-40B4-BE49-F238E27FC236}">
              <a16:creationId xmlns:a16="http://schemas.microsoft.com/office/drawing/2014/main" id="{00000000-0008-0000-0100-00003C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1" name="Text Box 63">
          <a:extLst>
            <a:ext uri="{FF2B5EF4-FFF2-40B4-BE49-F238E27FC236}">
              <a16:creationId xmlns:a16="http://schemas.microsoft.com/office/drawing/2014/main" id="{00000000-0008-0000-0100-00003D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2" name="Text Box 3">
          <a:extLst>
            <a:ext uri="{FF2B5EF4-FFF2-40B4-BE49-F238E27FC236}">
              <a16:creationId xmlns:a16="http://schemas.microsoft.com/office/drawing/2014/main" id="{00000000-0008-0000-0100-00003E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3" name="Text Box 32">
          <a:extLst>
            <a:ext uri="{FF2B5EF4-FFF2-40B4-BE49-F238E27FC236}">
              <a16:creationId xmlns:a16="http://schemas.microsoft.com/office/drawing/2014/main" id="{00000000-0008-0000-0100-00003F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4" name="Text Box 3">
          <a:extLst>
            <a:ext uri="{FF2B5EF4-FFF2-40B4-BE49-F238E27FC236}">
              <a16:creationId xmlns:a16="http://schemas.microsoft.com/office/drawing/2014/main" id="{00000000-0008-0000-0100-000040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5" name="Text Box 63">
          <a:extLst>
            <a:ext uri="{FF2B5EF4-FFF2-40B4-BE49-F238E27FC236}">
              <a16:creationId xmlns:a16="http://schemas.microsoft.com/office/drawing/2014/main" id="{00000000-0008-0000-0100-000041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6" name="Text Box 3">
          <a:extLst>
            <a:ext uri="{FF2B5EF4-FFF2-40B4-BE49-F238E27FC236}">
              <a16:creationId xmlns:a16="http://schemas.microsoft.com/office/drawing/2014/main" id="{00000000-0008-0000-0100-000042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7" name="Text Box 32">
          <a:extLst>
            <a:ext uri="{FF2B5EF4-FFF2-40B4-BE49-F238E27FC236}">
              <a16:creationId xmlns:a16="http://schemas.microsoft.com/office/drawing/2014/main" id="{00000000-0008-0000-0100-000043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8" name="Text Box 3">
          <a:extLst>
            <a:ext uri="{FF2B5EF4-FFF2-40B4-BE49-F238E27FC236}">
              <a16:creationId xmlns:a16="http://schemas.microsoft.com/office/drawing/2014/main" id="{00000000-0008-0000-0100-000044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9" name="Text Box 63">
          <a:extLst>
            <a:ext uri="{FF2B5EF4-FFF2-40B4-BE49-F238E27FC236}">
              <a16:creationId xmlns:a16="http://schemas.microsoft.com/office/drawing/2014/main" id="{00000000-0008-0000-0100-000045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0" name="Text Box 3">
          <a:extLst>
            <a:ext uri="{FF2B5EF4-FFF2-40B4-BE49-F238E27FC236}">
              <a16:creationId xmlns:a16="http://schemas.microsoft.com/office/drawing/2014/main" id="{00000000-0008-0000-0100-000046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1" name="Text Box 32">
          <a:extLst>
            <a:ext uri="{FF2B5EF4-FFF2-40B4-BE49-F238E27FC236}">
              <a16:creationId xmlns:a16="http://schemas.microsoft.com/office/drawing/2014/main" id="{00000000-0008-0000-0100-000047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2" name="Text Box 3">
          <a:extLst>
            <a:ext uri="{FF2B5EF4-FFF2-40B4-BE49-F238E27FC236}">
              <a16:creationId xmlns:a16="http://schemas.microsoft.com/office/drawing/2014/main" id="{00000000-0008-0000-0100-000048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3" name="Text Box 63">
          <a:extLst>
            <a:ext uri="{FF2B5EF4-FFF2-40B4-BE49-F238E27FC236}">
              <a16:creationId xmlns:a16="http://schemas.microsoft.com/office/drawing/2014/main" id="{00000000-0008-0000-0100-000049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4" name="Text Box 3">
          <a:extLst>
            <a:ext uri="{FF2B5EF4-FFF2-40B4-BE49-F238E27FC236}">
              <a16:creationId xmlns:a16="http://schemas.microsoft.com/office/drawing/2014/main" id="{00000000-0008-0000-0100-00004A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5" name="Text Box 32">
          <a:extLst>
            <a:ext uri="{FF2B5EF4-FFF2-40B4-BE49-F238E27FC236}">
              <a16:creationId xmlns:a16="http://schemas.microsoft.com/office/drawing/2014/main" id="{00000000-0008-0000-0100-00004B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6" name="Text Box 3">
          <a:extLst>
            <a:ext uri="{FF2B5EF4-FFF2-40B4-BE49-F238E27FC236}">
              <a16:creationId xmlns:a16="http://schemas.microsoft.com/office/drawing/2014/main" id="{00000000-0008-0000-0100-00004C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7" name="Text Box 63">
          <a:extLst>
            <a:ext uri="{FF2B5EF4-FFF2-40B4-BE49-F238E27FC236}">
              <a16:creationId xmlns:a16="http://schemas.microsoft.com/office/drawing/2014/main" id="{00000000-0008-0000-0100-00004D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8" name="Text Box 3">
          <a:extLst>
            <a:ext uri="{FF2B5EF4-FFF2-40B4-BE49-F238E27FC236}">
              <a16:creationId xmlns:a16="http://schemas.microsoft.com/office/drawing/2014/main" id="{00000000-0008-0000-0100-00004E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9" name="Text Box 32">
          <a:extLst>
            <a:ext uri="{FF2B5EF4-FFF2-40B4-BE49-F238E27FC236}">
              <a16:creationId xmlns:a16="http://schemas.microsoft.com/office/drawing/2014/main" id="{00000000-0008-0000-0100-00004F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0" name="Text Box 3">
          <a:extLst>
            <a:ext uri="{FF2B5EF4-FFF2-40B4-BE49-F238E27FC236}">
              <a16:creationId xmlns:a16="http://schemas.microsoft.com/office/drawing/2014/main" id="{00000000-0008-0000-0100-000050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1" name="Text Box 63">
          <a:extLst>
            <a:ext uri="{FF2B5EF4-FFF2-40B4-BE49-F238E27FC236}">
              <a16:creationId xmlns:a16="http://schemas.microsoft.com/office/drawing/2014/main" id="{00000000-0008-0000-0100-000051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2" name="Text Box 3">
          <a:extLst>
            <a:ext uri="{FF2B5EF4-FFF2-40B4-BE49-F238E27FC236}">
              <a16:creationId xmlns:a16="http://schemas.microsoft.com/office/drawing/2014/main" id="{00000000-0008-0000-0100-000052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3" name="Text Box 32">
          <a:extLst>
            <a:ext uri="{FF2B5EF4-FFF2-40B4-BE49-F238E27FC236}">
              <a16:creationId xmlns:a16="http://schemas.microsoft.com/office/drawing/2014/main" id="{00000000-0008-0000-0100-000053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4" name="Text Box 3">
          <a:extLst>
            <a:ext uri="{FF2B5EF4-FFF2-40B4-BE49-F238E27FC236}">
              <a16:creationId xmlns:a16="http://schemas.microsoft.com/office/drawing/2014/main" id="{00000000-0008-0000-0100-000054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5" name="Text Box 63">
          <a:extLst>
            <a:ext uri="{FF2B5EF4-FFF2-40B4-BE49-F238E27FC236}">
              <a16:creationId xmlns:a16="http://schemas.microsoft.com/office/drawing/2014/main" id="{00000000-0008-0000-0100-000055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6" name="Text Box 3">
          <a:extLst>
            <a:ext uri="{FF2B5EF4-FFF2-40B4-BE49-F238E27FC236}">
              <a16:creationId xmlns:a16="http://schemas.microsoft.com/office/drawing/2014/main" id="{00000000-0008-0000-0100-000056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7" name="Text Box 32">
          <a:extLst>
            <a:ext uri="{FF2B5EF4-FFF2-40B4-BE49-F238E27FC236}">
              <a16:creationId xmlns:a16="http://schemas.microsoft.com/office/drawing/2014/main" id="{00000000-0008-0000-0100-000057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8" name="Text Box 3">
          <a:extLst>
            <a:ext uri="{FF2B5EF4-FFF2-40B4-BE49-F238E27FC236}">
              <a16:creationId xmlns:a16="http://schemas.microsoft.com/office/drawing/2014/main" id="{00000000-0008-0000-0100-000058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9" name="Text Box 63">
          <a:extLst>
            <a:ext uri="{FF2B5EF4-FFF2-40B4-BE49-F238E27FC236}">
              <a16:creationId xmlns:a16="http://schemas.microsoft.com/office/drawing/2014/main" id="{00000000-0008-0000-0100-000059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0" name="Text Box 3">
          <a:extLst>
            <a:ext uri="{FF2B5EF4-FFF2-40B4-BE49-F238E27FC236}">
              <a16:creationId xmlns:a16="http://schemas.microsoft.com/office/drawing/2014/main" id="{00000000-0008-0000-0100-00005A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1" name="Text Box 32">
          <a:extLst>
            <a:ext uri="{FF2B5EF4-FFF2-40B4-BE49-F238E27FC236}">
              <a16:creationId xmlns:a16="http://schemas.microsoft.com/office/drawing/2014/main" id="{00000000-0008-0000-0100-00005B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2" name="Text Box 3">
          <a:extLst>
            <a:ext uri="{FF2B5EF4-FFF2-40B4-BE49-F238E27FC236}">
              <a16:creationId xmlns:a16="http://schemas.microsoft.com/office/drawing/2014/main" id="{00000000-0008-0000-0100-00005C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3" name="Text Box 63">
          <a:extLst>
            <a:ext uri="{FF2B5EF4-FFF2-40B4-BE49-F238E27FC236}">
              <a16:creationId xmlns:a16="http://schemas.microsoft.com/office/drawing/2014/main" id="{00000000-0008-0000-0100-00005D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4" name="Text Box 3">
          <a:extLst>
            <a:ext uri="{FF2B5EF4-FFF2-40B4-BE49-F238E27FC236}">
              <a16:creationId xmlns:a16="http://schemas.microsoft.com/office/drawing/2014/main" id="{00000000-0008-0000-0100-00005E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5" name="Text Box 32">
          <a:extLst>
            <a:ext uri="{FF2B5EF4-FFF2-40B4-BE49-F238E27FC236}">
              <a16:creationId xmlns:a16="http://schemas.microsoft.com/office/drawing/2014/main" id="{00000000-0008-0000-0100-00005F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6" name="Text Box 3">
          <a:extLst>
            <a:ext uri="{FF2B5EF4-FFF2-40B4-BE49-F238E27FC236}">
              <a16:creationId xmlns:a16="http://schemas.microsoft.com/office/drawing/2014/main" id="{00000000-0008-0000-0100-000060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7" name="Text Box 63">
          <a:extLst>
            <a:ext uri="{FF2B5EF4-FFF2-40B4-BE49-F238E27FC236}">
              <a16:creationId xmlns:a16="http://schemas.microsoft.com/office/drawing/2014/main" id="{00000000-0008-0000-0100-000061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8" name="Text Box 3">
          <a:extLst>
            <a:ext uri="{FF2B5EF4-FFF2-40B4-BE49-F238E27FC236}">
              <a16:creationId xmlns:a16="http://schemas.microsoft.com/office/drawing/2014/main" id="{00000000-0008-0000-0100-000062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9" name="Text Box 32">
          <a:extLst>
            <a:ext uri="{FF2B5EF4-FFF2-40B4-BE49-F238E27FC236}">
              <a16:creationId xmlns:a16="http://schemas.microsoft.com/office/drawing/2014/main" id="{00000000-0008-0000-0100-000063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0" name="Text Box 3">
          <a:extLst>
            <a:ext uri="{FF2B5EF4-FFF2-40B4-BE49-F238E27FC236}">
              <a16:creationId xmlns:a16="http://schemas.microsoft.com/office/drawing/2014/main" id="{00000000-0008-0000-0100-000064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1" name="Text Box 63">
          <a:extLst>
            <a:ext uri="{FF2B5EF4-FFF2-40B4-BE49-F238E27FC236}">
              <a16:creationId xmlns:a16="http://schemas.microsoft.com/office/drawing/2014/main" id="{00000000-0008-0000-0100-000065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2" name="Text Box 3">
          <a:extLst>
            <a:ext uri="{FF2B5EF4-FFF2-40B4-BE49-F238E27FC236}">
              <a16:creationId xmlns:a16="http://schemas.microsoft.com/office/drawing/2014/main" id="{00000000-0008-0000-0100-000066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3" name="Text Box 32">
          <a:extLst>
            <a:ext uri="{FF2B5EF4-FFF2-40B4-BE49-F238E27FC236}">
              <a16:creationId xmlns:a16="http://schemas.microsoft.com/office/drawing/2014/main" id="{00000000-0008-0000-0100-000067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4" name="Text Box 3">
          <a:extLst>
            <a:ext uri="{FF2B5EF4-FFF2-40B4-BE49-F238E27FC236}">
              <a16:creationId xmlns:a16="http://schemas.microsoft.com/office/drawing/2014/main" id="{00000000-0008-0000-0100-000068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5" name="Text Box 63">
          <a:extLst>
            <a:ext uri="{FF2B5EF4-FFF2-40B4-BE49-F238E27FC236}">
              <a16:creationId xmlns:a16="http://schemas.microsoft.com/office/drawing/2014/main" id="{00000000-0008-0000-0100-000069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6" name="Text Box 3">
          <a:extLst>
            <a:ext uri="{FF2B5EF4-FFF2-40B4-BE49-F238E27FC236}">
              <a16:creationId xmlns:a16="http://schemas.microsoft.com/office/drawing/2014/main" id="{00000000-0008-0000-0100-00006A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7" name="Text Box 32">
          <a:extLst>
            <a:ext uri="{FF2B5EF4-FFF2-40B4-BE49-F238E27FC236}">
              <a16:creationId xmlns:a16="http://schemas.microsoft.com/office/drawing/2014/main" id="{00000000-0008-0000-0100-00006B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8" name="Text Box 3">
          <a:extLst>
            <a:ext uri="{FF2B5EF4-FFF2-40B4-BE49-F238E27FC236}">
              <a16:creationId xmlns:a16="http://schemas.microsoft.com/office/drawing/2014/main" id="{00000000-0008-0000-0100-00006C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9" name="Text Box 63">
          <a:extLst>
            <a:ext uri="{FF2B5EF4-FFF2-40B4-BE49-F238E27FC236}">
              <a16:creationId xmlns:a16="http://schemas.microsoft.com/office/drawing/2014/main" id="{00000000-0008-0000-0100-00006D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0" name="Text Box 3">
          <a:extLst>
            <a:ext uri="{FF2B5EF4-FFF2-40B4-BE49-F238E27FC236}">
              <a16:creationId xmlns:a16="http://schemas.microsoft.com/office/drawing/2014/main" id="{00000000-0008-0000-0100-00006E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1" name="Text Box 32">
          <a:extLst>
            <a:ext uri="{FF2B5EF4-FFF2-40B4-BE49-F238E27FC236}">
              <a16:creationId xmlns:a16="http://schemas.microsoft.com/office/drawing/2014/main" id="{00000000-0008-0000-0100-00006F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2" name="Text Box 3">
          <a:extLst>
            <a:ext uri="{FF2B5EF4-FFF2-40B4-BE49-F238E27FC236}">
              <a16:creationId xmlns:a16="http://schemas.microsoft.com/office/drawing/2014/main" id="{00000000-0008-0000-0100-000070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3" name="Text Box 63">
          <a:extLst>
            <a:ext uri="{FF2B5EF4-FFF2-40B4-BE49-F238E27FC236}">
              <a16:creationId xmlns:a16="http://schemas.microsoft.com/office/drawing/2014/main" id="{00000000-0008-0000-0100-000071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4" name="Text Box 3">
          <a:extLst>
            <a:ext uri="{FF2B5EF4-FFF2-40B4-BE49-F238E27FC236}">
              <a16:creationId xmlns:a16="http://schemas.microsoft.com/office/drawing/2014/main" id="{00000000-0008-0000-0100-000072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5" name="Text Box 32">
          <a:extLst>
            <a:ext uri="{FF2B5EF4-FFF2-40B4-BE49-F238E27FC236}">
              <a16:creationId xmlns:a16="http://schemas.microsoft.com/office/drawing/2014/main" id="{00000000-0008-0000-0100-000073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6" name="Text Box 3">
          <a:extLst>
            <a:ext uri="{FF2B5EF4-FFF2-40B4-BE49-F238E27FC236}">
              <a16:creationId xmlns:a16="http://schemas.microsoft.com/office/drawing/2014/main" id="{00000000-0008-0000-0100-000074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7" name="Text Box 63">
          <a:extLst>
            <a:ext uri="{FF2B5EF4-FFF2-40B4-BE49-F238E27FC236}">
              <a16:creationId xmlns:a16="http://schemas.microsoft.com/office/drawing/2014/main" id="{00000000-0008-0000-0100-000075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8" name="Text Box 3">
          <a:extLst>
            <a:ext uri="{FF2B5EF4-FFF2-40B4-BE49-F238E27FC236}">
              <a16:creationId xmlns:a16="http://schemas.microsoft.com/office/drawing/2014/main" id="{00000000-0008-0000-0100-000076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9" name="Text Box 32">
          <a:extLst>
            <a:ext uri="{FF2B5EF4-FFF2-40B4-BE49-F238E27FC236}">
              <a16:creationId xmlns:a16="http://schemas.microsoft.com/office/drawing/2014/main" id="{00000000-0008-0000-0100-000077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0" name="Text Box 3">
          <a:extLst>
            <a:ext uri="{FF2B5EF4-FFF2-40B4-BE49-F238E27FC236}">
              <a16:creationId xmlns:a16="http://schemas.microsoft.com/office/drawing/2014/main" id="{00000000-0008-0000-0100-000078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1" name="Text Box 63">
          <a:extLst>
            <a:ext uri="{FF2B5EF4-FFF2-40B4-BE49-F238E27FC236}">
              <a16:creationId xmlns:a16="http://schemas.microsoft.com/office/drawing/2014/main" id="{00000000-0008-0000-0100-000079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2" name="Text Box 3">
          <a:extLst>
            <a:ext uri="{FF2B5EF4-FFF2-40B4-BE49-F238E27FC236}">
              <a16:creationId xmlns:a16="http://schemas.microsoft.com/office/drawing/2014/main" id="{00000000-0008-0000-0100-00007A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3" name="Text Box 32">
          <a:extLst>
            <a:ext uri="{FF2B5EF4-FFF2-40B4-BE49-F238E27FC236}">
              <a16:creationId xmlns:a16="http://schemas.microsoft.com/office/drawing/2014/main" id="{00000000-0008-0000-0100-00007B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4" name="Text Box 3">
          <a:extLst>
            <a:ext uri="{FF2B5EF4-FFF2-40B4-BE49-F238E27FC236}">
              <a16:creationId xmlns:a16="http://schemas.microsoft.com/office/drawing/2014/main" id="{00000000-0008-0000-0100-00007C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5" name="Text Box 63">
          <a:extLst>
            <a:ext uri="{FF2B5EF4-FFF2-40B4-BE49-F238E27FC236}">
              <a16:creationId xmlns:a16="http://schemas.microsoft.com/office/drawing/2014/main" id="{00000000-0008-0000-0100-00007D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6" name="Text Box 3">
          <a:extLst>
            <a:ext uri="{FF2B5EF4-FFF2-40B4-BE49-F238E27FC236}">
              <a16:creationId xmlns:a16="http://schemas.microsoft.com/office/drawing/2014/main" id="{00000000-0008-0000-0100-00007E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7" name="Text Box 32">
          <a:extLst>
            <a:ext uri="{FF2B5EF4-FFF2-40B4-BE49-F238E27FC236}">
              <a16:creationId xmlns:a16="http://schemas.microsoft.com/office/drawing/2014/main" id="{00000000-0008-0000-0100-00007F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8" name="Text Box 3">
          <a:extLst>
            <a:ext uri="{FF2B5EF4-FFF2-40B4-BE49-F238E27FC236}">
              <a16:creationId xmlns:a16="http://schemas.microsoft.com/office/drawing/2014/main" id="{00000000-0008-0000-0100-000080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9" name="Text Box 63">
          <a:extLst>
            <a:ext uri="{FF2B5EF4-FFF2-40B4-BE49-F238E27FC236}">
              <a16:creationId xmlns:a16="http://schemas.microsoft.com/office/drawing/2014/main" id="{00000000-0008-0000-0100-000081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0" name="Text Box 32">
          <a:extLst>
            <a:ext uri="{FF2B5EF4-FFF2-40B4-BE49-F238E27FC236}">
              <a16:creationId xmlns:a16="http://schemas.microsoft.com/office/drawing/2014/main" id="{00000000-0008-0000-0100-000082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1" name="Text Box 3">
          <a:extLst>
            <a:ext uri="{FF2B5EF4-FFF2-40B4-BE49-F238E27FC236}">
              <a16:creationId xmlns:a16="http://schemas.microsoft.com/office/drawing/2014/main" id="{00000000-0008-0000-0100-000083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2" name="Text Box 63">
          <a:extLst>
            <a:ext uri="{FF2B5EF4-FFF2-40B4-BE49-F238E27FC236}">
              <a16:creationId xmlns:a16="http://schemas.microsoft.com/office/drawing/2014/main" id="{00000000-0008-0000-0100-000084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3" name="Text Box 3">
          <a:extLst>
            <a:ext uri="{FF2B5EF4-FFF2-40B4-BE49-F238E27FC236}">
              <a16:creationId xmlns:a16="http://schemas.microsoft.com/office/drawing/2014/main" id="{00000000-0008-0000-0100-000085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4" name="Text Box 32">
          <a:extLst>
            <a:ext uri="{FF2B5EF4-FFF2-40B4-BE49-F238E27FC236}">
              <a16:creationId xmlns:a16="http://schemas.microsoft.com/office/drawing/2014/main" id="{00000000-0008-0000-0100-000086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5" name="Text Box 3">
          <a:extLst>
            <a:ext uri="{FF2B5EF4-FFF2-40B4-BE49-F238E27FC236}">
              <a16:creationId xmlns:a16="http://schemas.microsoft.com/office/drawing/2014/main" id="{00000000-0008-0000-0100-000087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6" name="Text Box 63">
          <a:extLst>
            <a:ext uri="{FF2B5EF4-FFF2-40B4-BE49-F238E27FC236}">
              <a16:creationId xmlns:a16="http://schemas.microsoft.com/office/drawing/2014/main" id="{00000000-0008-0000-0100-000088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7" name="Text Box 3">
          <a:extLst>
            <a:ext uri="{FF2B5EF4-FFF2-40B4-BE49-F238E27FC236}">
              <a16:creationId xmlns:a16="http://schemas.microsoft.com/office/drawing/2014/main" id="{00000000-0008-0000-0100-000089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8" name="Text Box 32">
          <a:extLst>
            <a:ext uri="{FF2B5EF4-FFF2-40B4-BE49-F238E27FC236}">
              <a16:creationId xmlns:a16="http://schemas.microsoft.com/office/drawing/2014/main" id="{00000000-0008-0000-0100-00008A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9" name="Text Box 3">
          <a:extLst>
            <a:ext uri="{FF2B5EF4-FFF2-40B4-BE49-F238E27FC236}">
              <a16:creationId xmlns:a16="http://schemas.microsoft.com/office/drawing/2014/main" id="{00000000-0008-0000-0100-00008B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0" name="Text Box 63">
          <a:extLst>
            <a:ext uri="{FF2B5EF4-FFF2-40B4-BE49-F238E27FC236}">
              <a16:creationId xmlns:a16="http://schemas.microsoft.com/office/drawing/2014/main" id="{00000000-0008-0000-0100-00008C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1" name="Text Box 3">
          <a:extLst>
            <a:ext uri="{FF2B5EF4-FFF2-40B4-BE49-F238E27FC236}">
              <a16:creationId xmlns:a16="http://schemas.microsoft.com/office/drawing/2014/main" id="{00000000-0008-0000-0100-00008D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2" name="Text Box 32">
          <a:extLst>
            <a:ext uri="{FF2B5EF4-FFF2-40B4-BE49-F238E27FC236}">
              <a16:creationId xmlns:a16="http://schemas.microsoft.com/office/drawing/2014/main" id="{00000000-0008-0000-0100-00008E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3" name="Text Box 3">
          <a:extLst>
            <a:ext uri="{FF2B5EF4-FFF2-40B4-BE49-F238E27FC236}">
              <a16:creationId xmlns:a16="http://schemas.microsoft.com/office/drawing/2014/main" id="{00000000-0008-0000-0100-00008F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4" name="Text Box 63">
          <a:extLst>
            <a:ext uri="{FF2B5EF4-FFF2-40B4-BE49-F238E27FC236}">
              <a16:creationId xmlns:a16="http://schemas.microsoft.com/office/drawing/2014/main" id="{00000000-0008-0000-0100-000090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5" name="Text Box 3">
          <a:extLst>
            <a:ext uri="{FF2B5EF4-FFF2-40B4-BE49-F238E27FC236}">
              <a16:creationId xmlns:a16="http://schemas.microsoft.com/office/drawing/2014/main" id="{00000000-0008-0000-0100-000091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6" name="Text Box 32">
          <a:extLst>
            <a:ext uri="{FF2B5EF4-FFF2-40B4-BE49-F238E27FC236}">
              <a16:creationId xmlns:a16="http://schemas.microsoft.com/office/drawing/2014/main" id="{00000000-0008-0000-0100-000092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7" name="Text Box 3">
          <a:extLst>
            <a:ext uri="{FF2B5EF4-FFF2-40B4-BE49-F238E27FC236}">
              <a16:creationId xmlns:a16="http://schemas.microsoft.com/office/drawing/2014/main" id="{00000000-0008-0000-0100-000093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8" name="Text Box 63">
          <a:extLst>
            <a:ext uri="{FF2B5EF4-FFF2-40B4-BE49-F238E27FC236}">
              <a16:creationId xmlns:a16="http://schemas.microsoft.com/office/drawing/2014/main" id="{00000000-0008-0000-0100-000094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9" name="Text Box 3">
          <a:extLst>
            <a:ext uri="{FF2B5EF4-FFF2-40B4-BE49-F238E27FC236}">
              <a16:creationId xmlns:a16="http://schemas.microsoft.com/office/drawing/2014/main" id="{00000000-0008-0000-0100-000095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0" name="Text Box 32">
          <a:extLst>
            <a:ext uri="{FF2B5EF4-FFF2-40B4-BE49-F238E27FC236}">
              <a16:creationId xmlns:a16="http://schemas.microsoft.com/office/drawing/2014/main" id="{00000000-0008-0000-0100-000096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1" name="Text Box 3">
          <a:extLst>
            <a:ext uri="{FF2B5EF4-FFF2-40B4-BE49-F238E27FC236}">
              <a16:creationId xmlns:a16="http://schemas.microsoft.com/office/drawing/2014/main" id="{00000000-0008-0000-0100-000097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2" name="Text Box 63">
          <a:extLst>
            <a:ext uri="{FF2B5EF4-FFF2-40B4-BE49-F238E27FC236}">
              <a16:creationId xmlns:a16="http://schemas.microsoft.com/office/drawing/2014/main" id="{00000000-0008-0000-0100-000098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3" name="Text Box 3">
          <a:extLst>
            <a:ext uri="{FF2B5EF4-FFF2-40B4-BE49-F238E27FC236}">
              <a16:creationId xmlns:a16="http://schemas.microsoft.com/office/drawing/2014/main" id="{00000000-0008-0000-0100-000099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4" name="Text Box 32">
          <a:extLst>
            <a:ext uri="{FF2B5EF4-FFF2-40B4-BE49-F238E27FC236}">
              <a16:creationId xmlns:a16="http://schemas.microsoft.com/office/drawing/2014/main" id="{00000000-0008-0000-0100-00009A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5" name="Text Box 3">
          <a:extLst>
            <a:ext uri="{FF2B5EF4-FFF2-40B4-BE49-F238E27FC236}">
              <a16:creationId xmlns:a16="http://schemas.microsoft.com/office/drawing/2014/main" id="{00000000-0008-0000-0100-00009B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6" name="Text Box 63">
          <a:extLst>
            <a:ext uri="{FF2B5EF4-FFF2-40B4-BE49-F238E27FC236}">
              <a16:creationId xmlns:a16="http://schemas.microsoft.com/office/drawing/2014/main" id="{00000000-0008-0000-0100-00009C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7" name="Text Box 3">
          <a:extLst>
            <a:ext uri="{FF2B5EF4-FFF2-40B4-BE49-F238E27FC236}">
              <a16:creationId xmlns:a16="http://schemas.microsoft.com/office/drawing/2014/main" id="{00000000-0008-0000-0100-00009D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8" name="Text Box 32">
          <a:extLst>
            <a:ext uri="{FF2B5EF4-FFF2-40B4-BE49-F238E27FC236}">
              <a16:creationId xmlns:a16="http://schemas.microsoft.com/office/drawing/2014/main" id="{00000000-0008-0000-0100-00009E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9" name="Text Box 3">
          <a:extLst>
            <a:ext uri="{FF2B5EF4-FFF2-40B4-BE49-F238E27FC236}">
              <a16:creationId xmlns:a16="http://schemas.microsoft.com/office/drawing/2014/main" id="{00000000-0008-0000-0100-00009F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0" name="Text Box 63">
          <a:extLst>
            <a:ext uri="{FF2B5EF4-FFF2-40B4-BE49-F238E27FC236}">
              <a16:creationId xmlns:a16="http://schemas.microsoft.com/office/drawing/2014/main" id="{00000000-0008-0000-0100-0000A0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1" name="Text Box 3">
          <a:extLst>
            <a:ext uri="{FF2B5EF4-FFF2-40B4-BE49-F238E27FC236}">
              <a16:creationId xmlns:a16="http://schemas.microsoft.com/office/drawing/2014/main" id="{00000000-0008-0000-0100-0000A1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2" name="Text Box 32">
          <a:extLst>
            <a:ext uri="{FF2B5EF4-FFF2-40B4-BE49-F238E27FC236}">
              <a16:creationId xmlns:a16="http://schemas.microsoft.com/office/drawing/2014/main" id="{00000000-0008-0000-0100-0000A2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3" name="Text Box 3">
          <a:extLst>
            <a:ext uri="{FF2B5EF4-FFF2-40B4-BE49-F238E27FC236}">
              <a16:creationId xmlns:a16="http://schemas.microsoft.com/office/drawing/2014/main" id="{00000000-0008-0000-0100-0000A3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4" name="Text Box 63">
          <a:extLst>
            <a:ext uri="{FF2B5EF4-FFF2-40B4-BE49-F238E27FC236}">
              <a16:creationId xmlns:a16="http://schemas.microsoft.com/office/drawing/2014/main" id="{00000000-0008-0000-0100-0000A4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5" name="Text Box 3">
          <a:extLst>
            <a:ext uri="{FF2B5EF4-FFF2-40B4-BE49-F238E27FC236}">
              <a16:creationId xmlns:a16="http://schemas.microsoft.com/office/drawing/2014/main" id="{00000000-0008-0000-0100-0000A5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6" name="Text Box 32">
          <a:extLst>
            <a:ext uri="{FF2B5EF4-FFF2-40B4-BE49-F238E27FC236}">
              <a16:creationId xmlns:a16="http://schemas.microsoft.com/office/drawing/2014/main" id="{00000000-0008-0000-0100-0000A6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7" name="Text Box 3">
          <a:extLst>
            <a:ext uri="{FF2B5EF4-FFF2-40B4-BE49-F238E27FC236}">
              <a16:creationId xmlns:a16="http://schemas.microsoft.com/office/drawing/2014/main" id="{00000000-0008-0000-0100-0000A7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8" name="Text Box 63">
          <a:extLst>
            <a:ext uri="{FF2B5EF4-FFF2-40B4-BE49-F238E27FC236}">
              <a16:creationId xmlns:a16="http://schemas.microsoft.com/office/drawing/2014/main" id="{00000000-0008-0000-0100-0000A8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9" name="Text Box 3">
          <a:extLst>
            <a:ext uri="{FF2B5EF4-FFF2-40B4-BE49-F238E27FC236}">
              <a16:creationId xmlns:a16="http://schemas.microsoft.com/office/drawing/2014/main" id="{00000000-0008-0000-0100-0000A9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0" name="Text Box 32">
          <a:extLst>
            <a:ext uri="{FF2B5EF4-FFF2-40B4-BE49-F238E27FC236}">
              <a16:creationId xmlns:a16="http://schemas.microsoft.com/office/drawing/2014/main" id="{00000000-0008-0000-0100-0000AA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1" name="Text Box 3">
          <a:extLst>
            <a:ext uri="{FF2B5EF4-FFF2-40B4-BE49-F238E27FC236}">
              <a16:creationId xmlns:a16="http://schemas.microsoft.com/office/drawing/2014/main" id="{00000000-0008-0000-0100-0000AB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2" name="Text Box 63">
          <a:extLst>
            <a:ext uri="{FF2B5EF4-FFF2-40B4-BE49-F238E27FC236}">
              <a16:creationId xmlns:a16="http://schemas.microsoft.com/office/drawing/2014/main" id="{00000000-0008-0000-0100-0000AC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3" name="Text Box 3">
          <a:extLst>
            <a:ext uri="{FF2B5EF4-FFF2-40B4-BE49-F238E27FC236}">
              <a16:creationId xmlns:a16="http://schemas.microsoft.com/office/drawing/2014/main" id="{00000000-0008-0000-0100-0000AD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4" name="Text Box 32">
          <a:extLst>
            <a:ext uri="{FF2B5EF4-FFF2-40B4-BE49-F238E27FC236}">
              <a16:creationId xmlns:a16="http://schemas.microsoft.com/office/drawing/2014/main" id="{00000000-0008-0000-0100-0000AE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5" name="Text Box 3">
          <a:extLst>
            <a:ext uri="{FF2B5EF4-FFF2-40B4-BE49-F238E27FC236}">
              <a16:creationId xmlns:a16="http://schemas.microsoft.com/office/drawing/2014/main" id="{00000000-0008-0000-0100-0000AF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6" name="Text Box 63">
          <a:extLst>
            <a:ext uri="{FF2B5EF4-FFF2-40B4-BE49-F238E27FC236}">
              <a16:creationId xmlns:a16="http://schemas.microsoft.com/office/drawing/2014/main" id="{00000000-0008-0000-0100-0000B0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7" name="Text Box 3">
          <a:extLst>
            <a:ext uri="{FF2B5EF4-FFF2-40B4-BE49-F238E27FC236}">
              <a16:creationId xmlns:a16="http://schemas.microsoft.com/office/drawing/2014/main" id="{00000000-0008-0000-0100-0000B1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8" name="Text Box 32">
          <a:extLst>
            <a:ext uri="{FF2B5EF4-FFF2-40B4-BE49-F238E27FC236}">
              <a16:creationId xmlns:a16="http://schemas.microsoft.com/office/drawing/2014/main" id="{00000000-0008-0000-0100-0000B2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9" name="Text Box 3">
          <a:extLst>
            <a:ext uri="{FF2B5EF4-FFF2-40B4-BE49-F238E27FC236}">
              <a16:creationId xmlns:a16="http://schemas.microsoft.com/office/drawing/2014/main" id="{00000000-0008-0000-0100-0000B3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0" name="Text Box 63">
          <a:extLst>
            <a:ext uri="{FF2B5EF4-FFF2-40B4-BE49-F238E27FC236}">
              <a16:creationId xmlns:a16="http://schemas.microsoft.com/office/drawing/2014/main" id="{00000000-0008-0000-0100-0000B4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1" name="Text Box 3">
          <a:extLst>
            <a:ext uri="{FF2B5EF4-FFF2-40B4-BE49-F238E27FC236}">
              <a16:creationId xmlns:a16="http://schemas.microsoft.com/office/drawing/2014/main" id="{00000000-0008-0000-0100-0000B5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2" name="Text Box 32">
          <a:extLst>
            <a:ext uri="{FF2B5EF4-FFF2-40B4-BE49-F238E27FC236}">
              <a16:creationId xmlns:a16="http://schemas.microsoft.com/office/drawing/2014/main" id="{00000000-0008-0000-0100-0000B6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3" name="Text Box 3">
          <a:extLst>
            <a:ext uri="{FF2B5EF4-FFF2-40B4-BE49-F238E27FC236}">
              <a16:creationId xmlns:a16="http://schemas.microsoft.com/office/drawing/2014/main" id="{00000000-0008-0000-0100-0000B7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4" name="Text Box 63">
          <a:extLst>
            <a:ext uri="{FF2B5EF4-FFF2-40B4-BE49-F238E27FC236}">
              <a16:creationId xmlns:a16="http://schemas.microsoft.com/office/drawing/2014/main" id="{00000000-0008-0000-0100-0000B8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5" name="Text Box 3">
          <a:extLst>
            <a:ext uri="{FF2B5EF4-FFF2-40B4-BE49-F238E27FC236}">
              <a16:creationId xmlns:a16="http://schemas.microsoft.com/office/drawing/2014/main" id="{00000000-0008-0000-0100-0000B9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6" name="Text Box 32">
          <a:extLst>
            <a:ext uri="{FF2B5EF4-FFF2-40B4-BE49-F238E27FC236}">
              <a16:creationId xmlns:a16="http://schemas.microsoft.com/office/drawing/2014/main" id="{00000000-0008-0000-0100-0000BA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7" name="Text Box 3">
          <a:extLst>
            <a:ext uri="{FF2B5EF4-FFF2-40B4-BE49-F238E27FC236}">
              <a16:creationId xmlns:a16="http://schemas.microsoft.com/office/drawing/2014/main" id="{00000000-0008-0000-0100-0000BB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8" name="Text Box 63">
          <a:extLst>
            <a:ext uri="{FF2B5EF4-FFF2-40B4-BE49-F238E27FC236}">
              <a16:creationId xmlns:a16="http://schemas.microsoft.com/office/drawing/2014/main" id="{00000000-0008-0000-0100-0000BC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9" name="Text Box 3">
          <a:extLst>
            <a:ext uri="{FF2B5EF4-FFF2-40B4-BE49-F238E27FC236}">
              <a16:creationId xmlns:a16="http://schemas.microsoft.com/office/drawing/2014/main" id="{00000000-0008-0000-0100-0000BD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0" name="Text Box 32">
          <a:extLst>
            <a:ext uri="{FF2B5EF4-FFF2-40B4-BE49-F238E27FC236}">
              <a16:creationId xmlns:a16="http://schemas.microsoft.com/office/drawing/2014/main" id="{00000000-0008-0000-0100-0000BE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1" name="Text Box 3">
          <a:extLst>
            <a:ext uri="{FF2B5EF4-FFF2-40B4-BE49-F238E27FC236}">
              <a16:creationId xmlns:a16="http://schemas.microsoft.com/office/drawing/2014/main" id="{00000000-0008-0000-0100-0000BF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2" name="Text Box 63">
          <a:extLst>
            <a:ext uri="{FF2B5EF4-FFF2-40B4-BE49-F238E27FC236}">
              <a16:creationId xmlns:a16="http://schemas.microsoft.com/office/drawing/2014/main" id="{00000000-0008-0000-0100-0000C0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3" name="Text Box 3">
          <a:extLst>
            <a:ext uri="{FF2B5EF4-FFF2-40B4-BE49-F238E27FC236}">
              <a16:creationId xmlns:a16="http://schemas.microsoft.com/office/drawing/2014/main" id="{00000000-0008-0000-0100-0000C1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4" name="Text Box 32">
          <a:extLst>
            <a:ext uri="{FF2B5EF4-FFF2-40B4-BE49-F238E27FC236}">
              <a16:creationId xmlns:a16="http://schemas.microsoft.com/office/drawing/2014/main" id="{00000000-0008-0000-0100-0000C2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5" name="Text Box 3">
          <a:extLst>
            <a:ext uri="{FF2B5EF4-FFF2-40B4-BE49-F238E27FC236}">
              <a16:creationId xmlns:a16="http://schemas.microsoft.com/office/drawing/2014/main" id="{00000000-0008-0000-0100-0000C3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6" name="Text Box 63">
          <a:extLst>
            <a:ext uri="{FF2B5EF4-FFF2-40B4-BE49-F238E27FC236}">
              <a16:creationId xmlns:a16="http://schemas.microsoft.com/office/drawing/2014/main" id="{00000000-0008-0000-0100-0000C4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7" name="Text Box 3">
          <a:extLst>
            <a:ext uri="{FF2B5EF4-FFF2-40B4-BE49-F238E27FC236}">
              <a16:creationId xmlns:a16="http://schemas.microsoft.com/office/drawing/2014/main" id="{00000000-0008-0000-0100-0000C5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8" name="Text Box 32">
          <a:extLst>
            <a:ext uri="{FF2B5EF4-FFF2-40B4-BE49-F238E27FC236}">
              <a16:creationId xmlns:a16="http://schemas.microsoft.com/office/drawing/2014/main" id="{00000000-0008-0000-0100-0000C6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9" name="Text Box 3">
          <a:extLst>
            <a:ext uri="{FF2B5EF4-FFF2-40B4-BE49-F238E27FC236}">
              <a16:creationId xmlns:a16="http://schemas.microsoft.com/office/drawing/2014/main" id="{00000000-0008-0000-0100-0000C7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0" name="Text Box 63">
          <a:extLst>
            <a:ext uri="{FF2B5EF4-FFF2-40B4-BE49-F238E27FC236}">
              <a16:creationId xmlns:a16="http://schemas.microsoft.com/office/drawing/2014/main" id="{00000000-0008-0000-0100-0000C8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1" name="Text Box 3">
          <a:extLst>
            <a:ext uri="{FF2B5EF4-FFF2-40B4-BE49-F238E27FC236}">
              <a16:creationId xmlns:a16="http://schemas.microsoft.com/office/drawing/2014/main" id="{00000000-0008-0000-0100-0000C9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2" name="Text Box 32">
          <a:extLst>
            <a:ext uri="{FF2B5EF4-FFF2-40B4-BE49-F238E27FC236}">
              <a16:creationId xmlns:a16="http://schemas.microsoft.com/office/drawing/2014/main" id="{00000000-0008-0000-0100-0000CA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3" name="Text Box 3">
          <a:extLst>
            <a:ext uri="{FF2B5EF4-FFF2-40B4-BE49-F238E27FC236}">
              <a16:creationId xmlns:a16="http://schemas.microsoft.com/office/drawing/2014/main" id="{00000000-0008-0000-0100-0000CB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4" name="Text Box 63">
          <a:extLst>
            <a:ext uri="{FF2B5EF4-FFF2-40B4-BE49-F238E27FC236}">
              <a16:creationId xmlns:a16="http://schemas.microsoft.com/office/drawing/2014/main" id="{00000000-0008-0000-0100-0000CC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5" name="Text Box 3">
          <a:extLst>
            <a:ext uri="{FF2B5EF4-FFF2-40B4-BE49-F238E27FC236}">
              <a16:creationId xmlns:a16="http://schemas.microsoft.com/office/drawing/2014/main" id="{00000000-0008-0000-0100-0000CD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6" name="Text Box 32">
          <a:extLst>
            <a:ext uri="{FF2B5EF4-FFF2-40B4-BE49-F238E27FC236}">
              <a16:creationId xmlns:a16="http://schemas.microsoft.com/office/drawing/2014/main" id="{00000000-0008-0000-0100-0000CE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7" name="Text Box 3">
          <a:extLst>
            <a:ext uri="{FF2B5EF4-FFF2-40B4-BE49-F238E27FC236}">
              <a16:creationId xmlns:a16="http://schemas.microsoft.com/office/drawing/2014/main" id="{00000000-0008-0000-0100-0000CF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8" name="Text Box 63">
          <a:extLst>
            <a:ext uri="{FF2B5EF4-FFF2-40B4-BE49-F238E27FC236}">
              <a16:creationId xmlns:a16="http://schemas.microsoft.com/office/drawing/2014/main" id="{00000000-0008-0000-0100-0000D0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9" name="Text Box 3">
          <a:extLst>
            <a:ext uri="{FF2B5EF4-FFF2-40B4-BE49-F238E27FC236}">
              <a16:creationId xmlns:a16="http://schemas.microsoft.com/office/drawing/2014/main" id="{00000000-0008-0000-0100-0000D1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0" name="Text Box 32">
          <a:extLst>
            <a:ext uri="{FF2B5EF4-FFF2-40B4-BE49-F238E27FC236}">
              <a16:creationId xmlns:a16="http://schemas.microsoft.com/office/drawing/2014/main" id="{00000000-0008-0000-0100-0000D2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1" name="Text Box 3">
          <a:extLst>
            <a:ext uri="{FF2B5EF4-FFF2-40B4-BE49-F238E27FC236}">
              <a16:creationId xmlns:a16="http://schemas.microsoft.com/office/drawing/2014/main" id="{00000000-0008-0000-0100-0000D3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2" name="Text Box 63">
          <a:extLst>
            <a:ext uri="{FF2B5EF4-FFF2-40B4-BE49-F238E27FC236}">
              <a16:creationId xmlns:a16="http://schemas.microsoft.com/office/drawing/2014/main" id="{00000000-0008-0000-0100-0000D4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3" name="Text Box 3">
          <a:extLst>
            <a:ext uri="{FF2B5EF4-FFF2-40B4-BE49-F238E27FC236}">
              <a16:creationId xmlns:a16="http://schemas.microsoft.com/office/drawing/2014/main" id="{00000000-0008-0000-0100-0000D5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4" name="Text Box 32">
          <a:extLst>
            <a:ext uri="{FF2B5EF4-FFF2-40B4-BE49-F238E27FC236}">
              <a16:creationId xmlns:a16="http://schemas.microsoft.com/office/drawing/2014/main" id="{00000000-0008-0000-0100-0000D6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5" name="Text Box 3">
          <a:extLst>
            <a:ext uri="{FF2B5EF4-FFF2-40B4-BE49-F238E27FC236}">
              <a16:creationId xmlns:a16="http://schemas.microsoft.com/office/drawing/2014/main" id="{00000000-0008-0000-0100-0000D7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6" name="Text Box 63">
          <a:extLst>
            <a:ext uri="{FF2B5EF4-FFF2-40B4-BE49-F238E27FC236}">
              <a16:creationId xmlns:a16="http://schemas.microsoft.com/office/drawing/2014/main" id="{00000000-0008-0000-0100-0000D8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7" name="Text Box 3">
          <a:extLst>
            <a:ext uri="{FF2B5EF4-FFF2-40B4-BE49-F238E27FC236}">
              <a16:creationId xmlns:a16="http://schemas.microsoft.com/office/drawing/2014/main" id="{00000000-0008-0000-0100-0000D9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8" name="Text Box 32">
          <a:extLst>
            <a:ext uri="{FF2B5EF4-FFF2-40B4-BE49-F238E27FC236}">
              <a16:creationId xmlns:a16="http://schemas.microsoft.com/office/drawing/2014/main" id="{00000000-0008-0000-0100-0000DA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9" name="Text Box 3">
          <a:extLst>
            <a:ext uri="{FF2B5EF4-FFF2-40B4-BE49-F238E27FC236}">
              <a16:creationId xmlns:a16="http://schemas.microsoft.com/office/drawing/2014/main" id="{00000000-0008-0000-0100-0000DB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0" name="Text Box 63">
          <a:extLst>
            <a:ext uri="{FF2B5EF4-FFF2-40B4-BE49-F238E27FC236}">
              <a16:creationId xmlns:a16="http://schemas.microsoft.com/office/drawing/2014/main" id="{00000000-0008-0000-0100-0000DC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1" name="Text Box 3">
          <a:extLst>
            <a:ext uri="{FF2B5EF4-FFF2-40B4-BE49-F238E27FC236}">
              <a16:creationId xmlns:a16="http://schemas.microsoft.com/office/drawing/2014/main" id="{00000000-0008-0000-0100-0000DD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2" name="Text Box 32">
          <a:extLst>
            <a:ext uri="{FF2B5EF4-FFF2-40B4-BE49-F238E27FC236}">
              <a16:creationId xmlns:a16="http://schemas.microsoft.com/office/drawing/2014/main" id="{00000000-0008-0000-0100-0000DE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3" name="Text Box 3">
          <a:extLst>
            <a:ext uri="{FF2B5EF4-FFF2-40B4-BE49-F238E27FC236}">
              <a16:creationId xmlns:a16="http://schemas.microsoft.com/office/drawing/2014/main" id="{00000000-0008-0000-0100-0000DF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4" name="Text Box 63">
          <a:extLst>
            <a:ext uri="{FF2B5EF4-FFF2-40B4-BE49-F238E27FC236}">
              <a16:creationId xmlns:a16="http://schemas.microsoft.com/office/drawing/2014/main" id="{00000000-0008-0000-0100-0000E0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5" name="Text Box 3">
          <a:extLst>
            <a:ext uri="{FF2B5EF4-FFF2-40B4-BE49-F238E27FC236}">
              <a16:creationId xmlns:a16="http://schemas.microsoft.com/office/drawing/2014/main" id="{00000000-0008-0000-0100-0000E1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6" name="Text Box 32">
          <a:extLst>
            <a:ext uri="{FF2B5EF4-FFF2-40B4-BE49-F238E27FC236}">
              <a16:creationId xmlns:a16="http://schemas.microsoft.com/office/drawing/2014/main" id="{00000000-0008-0000-0100-0000E2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7" name="Text Box 3">
          <a:extLst>
            <a:ext uri="{FF2B5EF4-FFF2-40B4-BE49-F238E27FC236}">
              <a16:creationId xmlns:a16="http://schemas.microsoft.com/office/drawing/2014/main" id="{00000000-0008-0000-0100-0000E3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8" name="Text Box 63">
          <a:extLst>
            <a:ext uri="{FF2B5EF4-FFF2-40B4-BE49-F238E27FC236}">
              <a16:creationId xmlns:a16="http://schemas.microsoft.com/office/drawing/2014/main" id="{00000000-0008-0000-0100-0000E4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9" name="Text Box 3">
          <a:extLst>
            <a:ext uri="{FF2B5EF4-FFF2-40B4-BE49-F238E27FC236}">
              <a16:creationId xmlns:a16="http://schemas.microsoft.com/office/drawing/2014/main" id="{00000000-0008-0000-0100-0000E5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0" name="Text Box 32">
          <a:extLst>
            <a:ext uri="{FF2B5EF4-FFF2-40B4-BE49-F238E27FC236}">
              <a16:creationId xmlns:a16="http://schemas.microsoft.com/office/drawing/2014/main" id="{00000000-0008-0000-0100-0000E6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1" name="Text Box 3">
          <a:extLst>
            <a:ext uri="{FF2B5EF4-FFF2-40B4-BE49-F238E27FC236}">
              <a16:creationId xmlns:a16="http://schemas.microsoft.com/office/drawing/2014/main" id="{00000000-0008-0000-0100-0000E7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2" name="Text Box 63">
          <a:extLst>
            <a:ext uri="{FF2B5EF4-FFF2-40B4-BE49-F238E27FC236}">
              <a16:creationId xmlns:a16="http://schemas.microsoft.com/office/drawing/2014/main" id="{00000000-0008-0000-0100-0000E8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3" name="Text Box 3">
          <a:extLst>
            <a:ext uri="{FF2B5EF4-FFF2-40B4-BE49-F238E27FC236}">
              <a16:creationId xmlns:a16="http://schemas.microsoft.com/office/drawing/2014/main" id="{00000000-0008-0000-0100-0000E9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4" name="Text Box 32">
          <a:extLst>
            <a:ext uri="{FF2B5EF4-FFF2-40B4-BE49-F238E27FC236}">
              <a16:creationId xmlns:a16="http://schemas.microsoft.com/office/drawing/2014/main" id="{00000000-0008-0000-0100-0000EA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5" name="Text Box 3">
          <a:extLst>
            <a:ext uri="{FF2B5EF4-FFF2-40B4-BE49-F238E27FC236}">
              <a16:creationId xmlns:a16="http://schemas.microsoft.com/office/drawing/2014/main" id="{00000000-0008-0000-0100-0000EB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6" name="Text Box 63">
          <a:extLst>
            <a:ext uri="{FF2B5EF4-FFF2-40B4-BE49-F238E27FC236}">
              <a16:creationId xmlns:a16="http://schemas.microsoft.com/office/drawing/2014/main" id="{00000000-0008-0000-0100-0000EC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7" name="Text Box 3">
          <a:extLst>
            <a:ext uri="{FF2B5EF4-FFF2-40B4-BE49-F238E27FC236}">
              <a16:creationId xmlns:a16="http://schemas.microsoft.com/office/drawing/2014/main" id="{00000000-0008-0000-0100-0000ED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8" name="Text Box 32">
          <a:extLst>
            <a:ext uri="{FF2B5EF4-FFF2-40B4-BE49-F238E27FC236}">
              <a16:creationId xmlns:a16="http://schemas.microsoft.com/office/drawing/2014/main" id="{00000000-0008-0000-0100-0000EE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9" name="Text Box 3">
          <a:extLst>
            <a:ext uri="{FF2B5EF4-FFF2-40B4-BE49-F238E27FC236}">
              <a16:creationId xmlns:a16="http://schemas.microsoft.com/office/drawing/2014/main" id="{00000000-0008-0000-0100-0000EF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0" name="Text Box 63">
          <a:extLst>
            <a:ext uri="{FF2B5EF4-FFF2-40B4-BE49-F238E27FC236}">
              <a16:creationId xmlns:a16="http://schemas.microsoft.com/office/drawing/2014/main" id="{00000000-0008-0000-0100-0000F0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1" name="Text Box 3">
          <a:extLst>
            <a:ext uri="{FF2B5EF4-FFF2-40B4-BE49-F238E27FC236}">
              <a16:creationId xmlns:a16="http://schemas.microsoft.com/office/drawing/2014/main" id="{00000000-0008-0000-0100-0000F1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2" name="Text Box 32">
          <a:extLst>
            <a:ext uri="{FF2B5EF4-FFF2-40B4-BE49-F238E27FC236}">
              <a16:creationId xmlns:a16="http://schemas.microsoft.com/office/drawing/2014/main" id="{00000000-0008-0000-0100-0000F2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3" name="Text Box 3">
          <a:extLst>
            <a:ext uri="{FF2B5EF4-FFF2-40B4-BE49-F238E27FC236}">
              <a16:creationId xmlns:a16="http://schemas.microsoft.com/office/drawing/2014/main" id="{00000000-0008-0000-0100-0000F3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4" name="Text Box 63">
          <a:extLst>
            <a:ext uri="{FF2B5EF4-FFF2-40B4-BE49-F238E27FC236}">
              <a16:creationId xmlns:a16="http://schemas.microsoft.com/office/drawing/2014/main" id="{00000000-0008-0000-0100-0000F4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5" name="Text Box 3">
          <a:extLst>
            <a:ext uri="{FF2B5EF4-FFF2-40B4-BE49-F238E27FC236}">
              <a16:creationId xmlns:a16="http://schemas.microsoft.com/office/drawing/2014/main" id="{00000000-0008-0000-0100-0000F5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6" name="Text Box 32">
          <a:extLst>
            <a:ext uri="{FF2B5EF4-FFF2-40B4-BE49-F238E27FC236}">
              <a16:creationId xmlns:a16="http://schemas.microsoft.com/office/drawing/2014/main" id="{00000000-0008-0000-0100-0000F6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7" name="Text Box 3">
          <a:extLst>
            <a:ext uri="{FF2B5EF4-FFF2-40B4-BE49-F238E27FC236}">
              <a16:creationId xmlns:a16="http://schemas.microsoft.com/office/drawing/2014/main" id="{00000000-0008-0000-0100-0000F7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8" name="Text Box 63">
          <a:extLst>
            <a:ext uri="{FF2B5EF4-FFF2-40B4-BE49-F238E27FC236}">
              <a16:creationId xmlns:a16="http://schemas.microsoft.com/office/drawing/2014/main" id="{00000000-0008-0000-0100-0000F8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9" name="Text Box 3">
          <a:extLst>
            <a:ext uri="{FF2B5EF4-FFF2-40B4-BE49-F238E27FC236}">
              <a16:creationId xmlns:a16="http://schemas.microsoft.com/office/drawing/2014/main" id="{00000000-0008-0000-0100-0000F9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0" name="Text Box 32">
          <a:extLst>
            <a:ext uri="{FF2B5EF4-FFF2-40B4-BE49-F238E27FC236}">
              <a16:creationId xmlns:a16="http://schemas.microsoft.com/office/drawing/2014/main" id="{00000000-0008-0000-0100-0000FA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1" name="Text Box 3">
          <a:extLst>
            <a:ext uri="{FF2B5EF4-FFF2-40B4-BE49-F238E27FC236}">
              <a16:creationId xmlns:a16="http://schemas.microsoft.com/office/drawing/2014/main" id="{00000000-0008-0000-0100-0000FB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2" name="Text Box 63">
          <a:extLst>
            <a:ext uri="{FF2B5EF4-FFF2-40B4-BE49-F238E27FC236}">
              <a16:creationId xmlns:a16="http://schemas.microsoft.com/office/drawing/2014/main" id="{00000000-0008-0000-0100-0000FC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3" name="Text Box 3">
          <a:extLst>
            <a:ext uri="{FF2B5EF4-FFF2-40B4-BE49-F238E27FC236}">
              <a16:creationId xmlns:a16="http://schemas.microsoft.com/office/drawing/2014/main" id="{00000000-0008-0000-0100-0000FD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4" name="Text Box 32">
          <a:extLst>
            <a:ext uri="{FF2B5EF4-FFF2-40B4-BE49-F238E27FC236}">
              <a16:creationId xmlns:a16="http://schemas.microsoft.com/office/drawing/2014/main" id="{00000000-0008-0000-0100-0000FE00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5" name="Text Box 3">
          <a:extLst>
            <a:ext uri="{FF2B5EF4-FFF2-40B4-BE49-F238E27FC236}">
              <a16:creationId xmlns:a16="http://schemas.microsoft.com/office/drawing/2014/main" id="{00000000-0008-0000-0100-0000FF00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6" name="Text Box 63">
          <a:extLst>
            <a:ext uri="{FF2B5EF4-FFF2-40B4-BE49-F238E27FC236}">
              <a16:creationId xmlns:a16="http://schemas.microsoft.com/office/drawing/2014/main" id="{00000000-0008-0000-0100-000000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7" name="Text Box 3">
          <a:extLst>
            <a:ext uri="{FF2B5EF4-FFF2-40B4-BE49-F238E27FC236}">
              <a16:creationId xmlns:a16="http://schemas.microsoft.com/office/drawing/2014/main" id="{00000000-0008-0000-0100-000001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8" name="Text Box 32">
          <a:extLst>
            <a:ext uri="{FF2B5EF4-FFF2-40B4-BE49-F238E27FC236}">
              <a16:creationId xmlns:a16="http://schemas.microsoft.com/office/drawing/2014/main" id="{00000000-0008-0000-0100-000002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9" name="Text Box 3">
          <a:extLst>
            <a:ext uri="{FF2B5EF4-FFF2-40B4-BE49-F238E27FC236}">
              <a16:creationId xmlns:a16="http://schemas.microsoft.com/office/drawing/2014/main" id="{00000000-0008-0000-0100-000003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0" name="Text Box 63">
          <a:extLst>
            <a:ext uri="{FF2B5EF4-FFF2-40B4-BE49-F238E27FC236}">
              <a16:creationId xmlns:a16="http://schemas.microsoft.com/office/drawing/2014/main" id="{00000000-0008-0000-0100-000004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1" name="Text Box 3">
          <a:extLst>
            <a:ext uri="{FF2B5EF4-FFF2-40B4-BE49-F238E27FC236}">
              <a16:creationId xmlns:a16="http://schemas.microsoft.com/office/drawing/2014/main" id="{00000000-0008-0000-0100-000005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2" name="Text Box 32">
          <a:extLst>
            <a:ext uri="{FF2B5EF4-FFF2-40B4-BE49-F238E27FC236}">
              <a16:creationId xmlns:a16="http://schemas.microsoft.com/office/drawing/2014/main" id="{00000000-0008-0000-0100-000006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3" name="Text Box 3">
          <a:extLst>
            <a:ext uri="{FF2B5EF4-FFF2-40B4-BE49-F238E27FC236}">
              <a16:creationId xmlns:a16="http://schemas.microsoft.com/office/drawing/2014/main" id="{00000000-0008-0000-0100-000007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4" name="Text Box 63">
          <a:extLst>
            <a:ext uri="{FF2B5EF4-FFF2-40B4-BE49-F238E27FC236}">
              <a16:creationId xmlns:a16="http://schemas.microsoft.com/office/drawing/2014/main" id="{00000000-0008-0000-0100-000008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5" name="Text Box 3">
          <a:extLst>
            <a:ext uri="{FF2B5EF4-FFF2-40B4-BE49-F238E27FC236}">
              <a16:creationId xmlns:a16="http://schemas.microsoft.com/office/drawing/2014/main" id="{00000000-0008-0000-0100-000009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6" name="Text Box 32">
          <a:extLst>
            <a:ext uri="{FF2B5EF4-FFF2-40B4-BE49-F238E27FC236}">
              <a16:creationId xmlns:a16="http://schemas.microsoft.com/office/drawing/2014/main" id="{00000000-0008-0000-0100-00000A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7" name="Text Box 3">
          <a:extLst>
            <a:ext uri="{FF2B5EF4-FFF2-40B4-BE49-F238E27FC236}">
              <a16:creationId xmlns:a16="http://schemas.microsoft.com/office/drawing/2014/main" id="{00000000-0008-0000-0100-00000B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8" name="Text Box 63">
          <a:extLst>
            <a:ext uri="{FF2B5EF4-FFF2-40B4-BE49-F238E27FC236}">
              <a16:creationId xmlns:a16="http://schemas.microsoft.com/office/drawing/2014/main" id="{00000000-0008-0000-0100-00000C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9" name="Text Box 3">
          <a:extLst>
            <a:ext uri="{FF2B5EF4-FFF2-40B4-BE49-F238E27FC236}">
              <a16:creationId xmlns:a16="http://schemas.microsoft.com/office/drawing/2014/main" id="{00000000-0008-0000-0100-00000D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0" name="Text Box 32">
          <a:extLst>
            <a:ext uri="{FF2B5EF4-FFF2-40B4-BE49-F238E27FC236}">
              <a16:creationId xmlns:a16="http://schemas.microsoft.com/office/drawing/2014/main" id="{00000000-0008-0000-0100-00000E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1" name="Text Box 3">
          <a:extLst>
            <a:ext uri="{FF2B5EF4-FFF2-40B4-BE49-F238E27FC236}">
              <a16:creationId xmlns:a16="http://schemas.microsoft.com/office/drawing/2014/main" id="{00000000-0008-0000-0100-00000F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2" name="Text Box 63">
          <a:extLst>
            <a:ext uri="{FF2B5EF4-FFF2-40B4-BE49-F238E27FC236}">
              <a16:creationId xmlns:a16="http://schemas.microsoft.com/office/drawing/2014/main" id="{00000000-0008-0000-0100-000010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3" name="Text Box 3">
          <a:extLst>
            <a:ext uri="{FF2B5EF4-FFF2-40B4-BE49-F238E27FC236}">
              <a16:creationId xmlns:a16="http://schemas.microsoft.com/office/drawing/2014/main" id="{00000000-0008-0000-0100-000011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4" name="Text Box 32">
          <a:extLst>
            <a:ext uri="{FF2B5EF4-FFF2-40B4-BE49-F238E27FC236}">
              <a16:creationId xmlns:a16="http://schemas.microsoft.com/office/drawing/2014/main" id="{00000000-0008-0000-0100-000012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5" name="Text Box 3">
          <a:extLst>
            <a:ext uri="{FF2B5EF4-FFF2-40B4-BE49-F238E27FC236}">
              <a16:creationId xmlns:a16="http://schemas.microsoft.com/office/drawing/2014/main" id="{00000000-0008-0000-0100-000013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6" name="Text Box 63">
          <a:extLst>
            <a:ext uri="{FF2B5EF4-FFF2-40B4-BE49-F238E27FC236}">
              <a16:creationId xmlns:a16="http://schemas.microsoft.com/office/drawing/2014/main" id="{00000000-0008-0000-0100-000014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7" name="Text Box 3">
          <a:extLst>
            <a:ext uri="{FF2B5EF4-FFF2-40B4-BE49-F238E27FC236}">
              <a16:creationId xmlns:a16="http://schemas.microsoft.com/office/drawing/2014/main" id="{00000000-0008-0000-0100-000015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8" name="Text Box 32">
          <a:extLst>
            <a:ext uri="{FF2B5EF4-FFF2-40B4-BE49-F238E27FC236}">
              <a16:creationId xmlns:a16="http://schemas.microsoft.com/office/drawing/2014/main" id="{00000000-0008-0000-0100-000016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9" name="Text Box 3">
          <a:extLst>
            <a:ext uri="{FF2B5EF4-FFF2-40B4-BE49-F238E27FC236}">
              <a16:creationId xmlns:a16="http://schemas.microsoft.com/office/drawing/2014/main" id="{00000000-0008-0000-0100-000017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0" name="Text Box 63">
          <a:extLst>
            <a:ext uri="{FF2B5EF4-FFF2-40B4-BE49-F238E27FC236}">
              <a16:creationId xmlns:a16="http://schemas.microsoft.com/office/drawing/2014/main" id="{00000000-0008-0000-0100-000018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1" name="Text Box 3">
          <a:extLst>
            <a:ext uri="{FF2B5EF4-FFF2-40B4-BE49-F238E27FC236}">
              <a16:creationId xmlns:a16="http://schemas.microsoft.com/office/drawing/2014/main" id="{00000000-0008-0000-0100-000019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2" name="Text Box 32">
          <a:extLst>
            <a:ext uri="{FF2B5EF4-FFF2-40B4-BE49-F238E27FC236}">
              <a16:creationId xmlns:a16="http://schemas.microsoft.com/office/drawing/2014/main" id="{00000000-0008-0000-0100-00001A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3" name="Text Box 3">
          <a:extLst>
            <a:ext uri="{FF2B5EF4-FFF2-40B4-BE49-F238E27FC236}">
              <a16:creationId xmlns:a16="http://schemas.microsoft.com/office/drawing/2014/main" id="{00000000-0008-0000-0100-00001B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4" name="Text Box 63">
          <a:extLst>
            <a:ext uri="{FF2B5EF4-FFF2-40B4-BE49-F238E27FC236}">
              <a16:creationId xmlns:a16="http://schemas.microsoft.com/office/drawing/2014/main" id="{00000000-0008-0000-0100-00001C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5" name="Text Box 3">
          <a:extLst>
            <a:ext uri="{FF2B5EF4-FFF2-40B4-BE49-F238E27FC236}">
              <a16:creationId xmlns:a16="http://schemas.microsoft.com/office/drawing/2014/main" id="{00000000-0008-0000-0100-00001D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6" name="Text Box 32">
          <a:extLst>
            <a:ext uri="{FF2B5EF4-FFF2-40B4-BE49-F238E27FC236}">
              <a16:creationId xmlns:a16="http://schemas.microsoft.com/office/drawing/2014/main" id="{00000000-0008-0000-0100-00001E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7" name="Text Box 3">
          <a:extLst>
            <a:ext uri="{FF2B5EF4-FFF2-40B4-BE49-F238E27FC236}">
              <a16:creationId xmlns:a16="http://schemas.microsoft.com/office/drawing/2014/main" id="{00000000-0008-0000-0100-00001F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8" name="Text Box 63">
          <a:extLst>
            <a:ext uri="{FF2B5EF4-FFF2-40B4-BE49-F238E27FC236}">
              <a16:creationId xmlns:a16="http://schemas.microsoft.com/office/drawing/2014/main" id="{00000000-0008-0000-0100-000020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9" name="Text Box 3">
          <a:extLst>
            <a:ext uri="{FF2B5EF4-FFF2-40B4-BE49-F238E27FC236}">
              <a16:creationId xmlns:a16="http://schemas.microsoft.com/office/drawing/2014/main" id="{00000000-0008-0000-0100-000021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0" name="Text Box 32">
          <a:extLst>
            <a:ext uri="{FF2B5EF4-FFF2-40B4-BE49-F238E27FC236}">
              <a16:creationId xmlns:a16="http://schemas.microsoft.com/office/drawing/2014/main" id="{00000000-0008-0000-0100-000022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1" name="Text Box 3">
          <a:extLst>
            <a:ext uri="{FF2B5EF4-FFF2-40B4-BE49-F238E27FC236}">
              <a16:creationId xmlns:a16="http://schemas.microsoft.com/office/drawing/2014/main" id="{00000000-0008-0000-0100-000023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2" name="Text Box 63">
          <a:extLst>
            <a:ext uri="{FF2B5EF4-FFF2-40B4-BE49-F238E27FC236}">
              <a16:creationId xmlns:a16="http://schemas.microsoft.com/office/drawing/2014/main" id="{00000000-0008-0000-0100-000024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3" name="Text Box 3">
          <a:extLst>
            <a:ext uri="{FF2B5EF4-FFF2-40B4-BE49-F238E27FC236}">
              <a16:creationId xmlns:a16="http://schemas.microsoft.com/office/drawing/2014/main" id="{00000000-0008-0000-0100-000025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4" name="Text Box 32">
          <a:extLst>
            <a:ext uri="{FF2B5EF4-FFF2-40B4-BE49-F238E27FC236}">
              <a16:creationId xmlns:a16="http://schemas.microsoft.com/office/drawing/2014/main" id="{00000000-0008-0000-0100-000026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5" name="Text Box 3">
          <a:extLst>
            <a:ext uri="{FF2B5EF4-FFF2-40B4-BE49-F238E27FC236}">
              <a16:creationId xmlns:a16="http://schemas.microsoft.com/office/drawing/2014/main" id="{00000000-0008-0000-0100-000027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6" name="Text Box 63">
          <a:extLst>
            <a:ext uri="{FF2B5EF4-FFF2-40B4-BE49-F238E27FC236}">
              <a16:creationId xmlns:a16="http://schemas.microsoft.com/office/drawing/2014/main" id="{00000000-0008-0000-0100-000028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7" name="Text Box 3">
          <a:extLst>
            <a:ext uri="{FF2B5EF4-FFF2-40B4-BE49-F238E27FC236}">
              <a16:creationId xmlns:a16="http://schemas.microsoft.com/office/drawing/2014/main" id="{00000000-0008-0000-0100-000029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8" name="Text Box 32">
          <a:extLst>
            <a:ext uri="{FF2B5EF4-FFF2-40B4-BE49-F238E27FC236}">
              <a16:creationId xmlns:a16="http://schemas.microsoft.com/office/drawing/2014/main" id="{00000000-0008-0000-0100-00002A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9" name="Text Box 3">
          <a:extLst>
            <a:ext uri="{FF2B5EF4-FFF2-40B4-BE49-F238E27FC236}">
              <a16:creationId xmlns:a16="http://schemas.microsoft.com/office/drawing/2014/main" id="{00000000-0008-0000-0100-00002B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0" name="Text Box 63">
          <a:extLst>
            <a:ext uri="{FF2B5EF4-FFF2-40B4-BE49-F238E27FC236}">
              <a16:creationId xmlns:a16="http://schemas.microsoft.com/office/drawing/2014/main" id="{00000000-0008-0000-0100-00002C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1" name="Text Box 3">
          <a:extLst>
            <a:ext uri="{FF2B5EF4-FFF2-40B4-BE49-F238E27FC236}">
              <a16:creationId xmlns:a16="http://schemas.microsoft.com/office/drawing/2014/main" id="{00000000-0008-0000-0100-00002D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2" name="Text Box 32">
          <a:extLst>
            <a:ext uri="{FF2B5EF4-FFF2-40B4-BE49-F238E27FC236}">
              <a16:creationId xmlns:a16="http://schemas.microsoft.com/office/drawing/2014/main" id="{00000000-0008-0000-0100-00002E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3" name="Text Box 3">
          <a:extLst>
            <a:ext uri="{FF2B5EF4-FFF2-40B4-BE49-F238E27FC236}">
              <a16:creationId xmlns:a16="http://schemas.microsoft.com/office/drawing/2014/main" id="{00000000-0008-0000-0100-00002F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4" name="Text Box 63">
          <a:extLst>
            <a:ext uri="{FF2B5EF4-FFF2-40B4-BE49-F238E27FC236}">
              <a16:creationId xmlns:a16="http://schemas.microsoft.com/office/drawing/2014/main" id="{00000000-0008-0000-0100-000030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5" name="Text Box 3">
          <a:extLst>
            <a:ext uri="{FF2B5EF4-FFF2-40B4-BE49-F238E27FC236}">
              <a16:creationId xmlns:a16="http://schemas.microsoft.com/office/drawing/2014/main" id="{00000000-0008-0000-0100-000031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6" name="Text Box 32">
          <a:extLst>
            <a:ext uri="{FF2B5EF4-FFF2-40B4-BE49-F238E27FC236}">
              <a16:creationId xmlns:a16="http://schemas.microsoft.com/office/drawing/2014/main" id="{00000000-0008-0000-0100-000032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7" name="Text Box 3">
          <a:extLst>
            <a:ext uri="{FF2B5EF4-FFF2-40B4-BE49-F238E27FC236}">
              <a16:creationId xmlns:a16="http://schemas.microsoft.com/office/drawing/2014/main" id="{00000000-0008-0000-0100-000033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8" name="Text Box 63">
          <a:extLst>
            <a:ext uri="{FF2B5EF4-FFF2-40B4-BE49-F238E27FC236}">
              <a16:creationId xmlns:a16="http://schemas.microsoft.com/office/drawing/2014/main" id="{00000000-0008-0000-0100-000034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9" name="Text Box 3">
          <a:extLst>
            <a:ext uri="{FF2B5EF4-FFF2-40B4-BE49-F238E27FC236}">
              <a16:creationId xmlns:a16="http://schemas.microsoft.com/office/drawing/2014/main" id="{00000000-0008-0000-0100-000035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10" name="Text Box 32">
          <a:extLst>
            <a:ext uri="{FF2B5EF4-FFF2-40B4-BE49-F238E27FC236}">
              <a16:creationId xmlns:a16="http://schemas.microsoft.com/office/drawing/2014/main" id="{00000000-0008-0000-0100-000036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11" name="Text Box 3">
          <a:extLst>
            <a:ext uri="{FF2B5EF4-FFF2-40B4-BE49-F238E27FC236}">
              <a16:creationId xmlns:a16="http://schemas.microsoft.com/office/drawing/2014/main" id="{00000000-0008-0000-0100-000037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12" name="Text Box 63">
          <a:extLst>
            <a:ext uri="{FF2B5EF4-FFF2-40B4-BE49-F238E27FC236}">
              <a16:creationId xmlns:a16="http://schemas.microsoft.com/office/drawing/2014/main" id="{00000000-0008-0000-0100-000038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13" name="Text Box 3">
          <a:extLst>
            <a:ext uri="{FF2B5EF4-FFF2-40B4-BE49-F238E27FC236}">
              <a16:creationId xmlns:a16="http://schemas.microsoft.com/office/drawing/2014/main" id="{00000000-0008-0000-0100-000039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14" name="Text Box 32">
          <a:extLst>
            <a:ext uri="{FF2B5EF4-FFF2-40B4-BE49-F238E27FC236}">
              <a16:creationId xmlns:a16="http://schemas.microsoft.com/office/drawing/2014/main" id="{00000000-0008-0000-0100-00003A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15" name="Text Box 3">
          <a:extLst>
            <a:ext uri="{FF2B5EF4-FFF2-40B4-BE49-F238E27FC236}">
              <a16:creationId xmlns:a16="http://schemas.microsoft.com/office/drawing/2014/main" id="{00000000-0008-0000-0100-00003B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16" name="Text Box 63">
          <a:extLst>
            <a:ext uri="{FF2B5EF4-FFF2-40B4-BE49-F238E27FC236}">
              <a16:creationId xmlns:a16="http://schemas.microsoft.com/office/drawing/2014/main" id="{00000000-0008-0000-0100-00003C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17" name="Text Box 3">
          <a:extLst>
            <a:ext uri="{FF2B5EF4-FFF2-40B4-BE49-F238E27FC236}">
              <a16:creationId xmlns:a16="http://schemas.microsoft.com/office/drawing/2014/main" id="{00000000-0008-0000-0100-00003D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18" name="Text Box 32">
          <a:extLst>
            <a:ext uri="{FF2B5EF4-FFF2-40B4-BE49-F238E27FC236}">
              <a16:creationId xmlns:a16="http://schemas.microsoft.com/office/drawing/2014/main" id="{00000000-0008-0000-0100-00003E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19" name="Text Box 3">
          <a:extLst>
            <a:ext uri="{FF2B5EF4-FFF2-40B4-BE49-F238E27FC236}">
              <a16:creationId xmlns:a16="http://schemas.microsoft.com/office/drawing/2014/main" id="{00000000-0008-0000-0100-00003F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20" name="Text Box 63">
          <a:extLst>
            <a:ext uri="{FF2B5EF4-FFF2-40B4-BE49-F238E27FC236}">
              <a16:creationId xmlns:a16="http://schemas.microsoft.com/office/drawing/2014/main" id="{00000000-0008-0000-0100-000040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21" name="Text Box 3">
          <a:extLst>
            <a:ext uri="{FF2B5EF4-FFF2-40B4-BE49-F238E27FC236}">
              <a16:creationId xmlns:a16="http://schemas.microsoft.com/office/drawing/2014/main" id="{00000000-0008-0000-0100-000041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22" name="Text Box 32">
          <a:extLst>
            <a:ext uri="{FF2B5EF4-FFF2-40B4-BE49-F238E27FC236}">
              <a16:creationId xmlns:a16="http://schemas.microsoft.com/office/drawing/2014/main" id="{00000000-0008-0000-0100-000042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23" name="Text Box 3">
          <a:extLst>
            <a:ext uri="{FF2B5EF4-FFF2-40B4-BE49-F238E27FC236}">
              <a16:creationId xmlns:a16="http://schemas.microsoft.com/office/drawing/2014/main" id="{00000000-0008-0000-0100-000043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24" name="Text Box 63">
          <a:extLst>
            <a:ext uri="{FF2B5EF4-FFF2-40B4-BE49-F238E27FC236}">
              <a16:creationId xmlns:a16="http://schemas.microsoft.com/office/drawing/2014/main" id="{00000000-0008-0000-0100-000044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25" name="Text Box 3">
          <a:extLst>
            <a:ext uri="{FF2B5EF4-FFF2-40B4-BE49-F238E27FC236}">
              <a16:creationId xmlns:a16="http://schemas.microsoft.com/office/drawing/2014/main" id="{00000000-0008-0000-0100-000045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26" name="Text Box 32">
          <a:extLst>
            <a:ext uri="{FF2B5EF4-FFF2-40B4-BE49-F238E27FC236}">
              <a16:creationId xmlns:a16="http://schemas.microsoft.com/office/drawing/2014/main" id="{00000000-0008-0000-0100-000046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27" name="Text Box 3">
          <a:extLst>
            <a:ext uri="{FF2B5EF4-FFF2-40B4-BE49-F238E27FC236}">
              <a16:creationId xmlns:a16="http://schemas.microsoft.com/office/drawing/2014/main" id="{00000000-0008-0000-0100-000047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28" name="Text Box 63">
          <a:extLst>
            <a:ext uri="{FF2B5EF4-FFF2-40B4-BE49-F238E27FC236}">
              <a16:creationId xmlns:a16="http://schemas.microsoft.com/office/drawing/2014/main" id="{00000000-0008-0000-0100-000048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29" name="Text Box 3">
          <a:extLst>
            <a:ext uri="{FF2B5EF4-FFF2-40B4-BE49-F238E27FC236}">
              <a16:creationId xmlns:a16="http://schemas.microsoft.com/office/drawing/2014/main" id="{00000000-0008-0000-0100-000049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30" name="Text Box 32">
          <a:extLst>
            <a:ext uri="{FF2B5EF4-FFF2-40B4-BE49-F238E27FC236}">
              <a16:creationId xmlns:a16="http://schemas.microsoft.com/office/drawing/2014/main" id="{00000000-0008-0000-0100-00004A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31" name="Text Box 3">
          <a:extLst>
            <a:ext uri="{FF2B5EF4-FFF2-40B4-BE49-F238E27FC236}">
              <a16:creationId xmlns:a16="http://schemas.microsoft.com/office/drawing/2014/main" id="{00000000-0008-0000-0100-00004B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32" name="Text Box 63">
          <a:extLst>
            <a:ext uri="{FF2B5EF4-FFF2-40B4-BE49-F238E27FC236}">
              <a16:creationId xmlns:a16="http://schemas.microsoft.com/office/drawing/2014/main" id="{00000000-0008-0000-0100-00004C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33" name="Text Box 3">
          <a:extLst>
            <a:ext uri="{FF2B5EF4-FFF2-40B4-BE49-F238E27FC236}">
              <a16:creationId xmlns:a16="http://schemas.microsoft.com/office/drawing/2014/main" id="{00000000-0008-0000-0100-00004D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34" name="Text Box 32">
          <a:extLst>
            <a:ext uri="{FF2B5EF4-FFF2-40B4-BE49-F238E27FC236}">
              <a16:creationId xmlns:a16="http://schemas.microsoft.com/office/drawing/2014/main" id="{00000000-0008-0000-0100-00004E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35" name="Text Box 3">
          <a:extLst>
            <a:ext uri="{FF2B5EF4-FFF2-40B4-BE49-F238E27FC236}">
              <a16:creationId xmlns:a16="http://schemas.microsoft.com/office/drawing/2014/main" id="{00000000-0008-0000-0100-00004F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36" name="Text Box 63">
          <a:extLst>
            <a:ext uri="{FF2B5EF4-FFF2-40B4-BE49-F238E27FC236}">
              <a16:creationId xmlns:a16="http://schemas.microsoft.com/office/drawing/2014/main" id="{00000000-0008-0000-0100-000050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37" name="Text Box 3">
          <a:extLst>
            <a:ext uri="{FF2B5EF4-FFF2-40B4-BE49-F238E27FC236}">
              <a16:creationId xmlns:a16="http://schemas.microsoft.com/office/drawing/2014/main" id="{00000000-0008-0000-0100-000051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38" name="Text Box 32">
          <a:extLst>
            <a:ext uri="{FF2B5EF4-FFF2-40B4-BE49-F238E27FC236}">
              <a16:creationId xmlns:a16="http://schemas.microsoft.com/office/drawing/2014/main" id="{00000000-0008-0000-0100-000052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39" name="Text Box 3">
          <a:extLst>
            <a:ext uri="{FF2B5EF4-FFF2-40B4-BE49-F238E27FC236}">
              <a16:creationId xmlns:a16="http://schemas.microsoft.com/office/drawing/2014/main" id="{00000000-0008-0000-0100-000053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40" name="Text Box 63">
          <a:extLst>
            <a:ext uri="{FF2B5EF4-FFF2-40B4-BE49-F238E27FC236}">
              <a16:creationId xmlns:a16="http://schemas.microsoft.com/office/drawing/2014/main" id="{00000000-0008-0000-0100-000054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41" name="Text Box 3">
          <a:extLst>
            <a:ext uri="{FF2B5EF4-FFF2-40B4-BE49-F238E27FC236}">
              <a16:creationId xmlns:a16="http://schemas.microsoft.com/office/drawing/2014/main" id="{00000000-0008-0000-0100-000055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42" name="Text Box 32">
          <a:extLst>
            <a:ext uri="{FF2B5EF4-FFF2-40B4-BE49-F238E27FC236}">
              <a16:creationId xmlns:a16="http://schemas.microsoft.com/office/drawing/2014/main" id="{00000000-0008-0000-0100-000056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43" name="Text Box 3">
          <a:extLst>
            <a:ext uri="{FF2B5EF4-FFF2-40B4-BE49-F238E27FC236}">
              <a16:creationId xmlns:a16="http://schemas.microsoft.com/office/drawing/2014/main" id="{00000000-0008-0000-0100-000057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44" name="Text Box 63">
          <a:extLst>
            <a:ext uri="{FF2B5EF4-FFF2-40B4-BE49-F238E27FC236}">
              <a16:creationId xmlns:a16="http://schemas.microsoft.com/office/drawing/2014/main" id="{00000000-0008-0000-0100-000058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45" name="Text Box 3">
          <a:extLst>
            <a:ext uri="{FF2B5EF4-FFF2-40B4-BE49-F238E27FC236}">
              <a16:creationId xmlns:a16="http://schemas.microsoft.com/office/drawing/2014/main" id="{00000000-0008-0000-0100-000059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46" name="Text Box 32">
          <a:extLst>
            <a:ext uri="{FF2B5EF4-FFF2-40B4-BE49-F238E27FC236}">
              <a16:creationId xmlns:a16="http://schemas.microsoft.com/office/drawing/2014/main" id="{00000000-0008-0000-0100-00005A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47" name="Text Box 3">
          <a:extLst>
            <a:ext uri="{FF2B5EF4-FFF2-40B4-BE49-F238E27FC236}">
              <a16:creationId xmlns:a16="http://schemas.microsoft.com/office/drawing/2014/main" id="{00000000-0008-0000-0100-00005B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48" name="Text Box 63">
          <a:extLst>
            <a:ext uri="{FF2B5EF4-FFF2-40B4-BE49-F238E27FC236}">
              <a16:creationId xmlns:a16="http://schemas.microsoft.com/office/drawing/2014/main" id="{00000000-0008-0000-0100-00005C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49" name="Text Box 3">
          <a:extLst>
            <a:ext uri="{FF2B5EF4-FFF2-40B4-BE49-F238E27FC236}">
              <a16:creationId xmlns:a16="http://schemas.microsoft.com/office/drawing/2014/main" id="{00000000-0008-0000-0100-00005D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50" name="Text Box 32">
          <a:extLst>
            <a:ext uri="{FF2B5EF4-FFF2-40B4-BE49-F238E27FC236}">
              <a16:creationId xmlns:a16="http://schemas.microsoft.com/office/drawing/2014/main" id="{00000000-0008-0000-0100-00005E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51" name="Text Box 3">
          <a:extLst>
            <a:ext uri="{FF2B5EF4-FFF2-40B4-BE49-F238E27FC236}">
              <a16:creationId xmlns:a16="http://schemas.microsoft.com/office/drawing/2014/main" id="{00000000-0008-0000-0100-00005F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52" name="Text Box 63">
          <a:extLst>
            <a:ext uri="{FF2B5EF4-FFF2-40B4-BE49-F238E27FC236}">
              <a16:creationId xmlns:a16="http://schemas.microsoft.com/office/drawing/2014/main" id="{00000000-0008-0000-0100-000060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53" name="Text Box 3">
          <a:extLst>
            <a:ext uri="{FF2B5EF4-FFF2-40B4-BE49-F238E27FC236}">
              <a16:creationId xmlns:a16="http://schemas.microsoft.com/office/drawing/2014/main" id="{00000000-0008-0000-0100-000061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54" name="Text Box 32">
          <a:extLst>
            <a:ext uri="{FF2B5EF4-FFF2-40B4-BE49-F238E27FC236}">
              <a16:creationId xmlns:a16="http://schemas.microsoft.com/office/drawing/2014/main" id="{00000000-0008-0000-0100-000062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55" name="Text Box 3">
          <a:extLst>
            <a:ext uri="{FF2B5EF4-FFF2-40B4-BE49-F238E27FC236}">
              <a16:creationId xmlns:a16="http://schemas.microsoft.com/office/drawing/2014/main" id="{00000000-0008-0000-0100-000063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56" name="Text Box 63">
          <a:extLst>
            <a:ext uri="{FF2B5EF4-FFF2-40B4-BE49-F238E27FC236}">
              <a16:creationId xmlns:a16="http://schemas.microsoft.com/office/drawing/2014/main" id="{00000000-0008-0000-0100-000064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57" name="Text Box 3">
          <a:extLst>
            <a:ext uri="{FF2B5EF4-FFF2-40B4-BE49-F238E27FC236}">
              <a16:creationId xmlns:a16="http://schemas.microsoft.com/office/drawing/2014/main" id="{00000000-0008-0000-0100-000065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58" name="Text Box 32">
          <a:extLst>
            <a:ext uri="{FF2B5EF4-FFF2-40B4-BE49-F238E27FC236}">
              <a16:creationId xmlns:a16="http://schemas.microsoft.com/office/drawing/2014/main" id="{00000000-0008-0000-0100-000066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59" name="Text Box 3">
          <a:extLst>
            <a:ext uri="{FF2B5EF4-FFF2-40B4-BE49-F238E27FC236}">
              <a16:creationId xmlns:a16="http://schemas.microsoft.com/office/drawing/2014/main" id="{00000000-0008-0000-0100-000067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60" name="Text Box 63">
          <a:extLst>
            <a:ext uri="{FF2B5EF4-FFF2-40B4-BE49-F238E27FC236}">
              <a16:creationId xmlns:a16="http://schemas.microsoft.com/office/drawing/2014/main" id="{00000000-0008-0000-0100-000068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61" name="Text Box 3">
          <a:extLst>
            <a:ext uri="{FF2B5EF4-FFF2-40B4-BE49-F238E27FC236}">
              <a16:creationId xmlns:a16="http://schemas.microsoft.com/office/drawing/2014/main" id="{00000000-0008-0000-0100-000069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62" name="Text Box 32">
          <a:extLst>
            <a:ext uri="{FF2B5EF4-FFF2-40B4-BE49-F238E27FC236}">
              <a16:creationId xmlns:a16="http://schemas.microsoft.com/office/drawing/2014/main" id="{00000000-0008-0000-0100-00006A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63" name="Text Box 3">
          <a:extLst>
            <a:ext uri="{FF2B5EF4-FFF2-40B4-BE49-F238E27FC236}">
              <a16:creationId xmlns:a16="http://schemas.microsoft.com/office/drawing/2014/main" id="{00000000-0008-0000-0100-00006B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64" name="Text Box 63">
          <a:extLst>
            <a:ext uri="{FF2B5EF4-FFF2-40B4-BE49-F238E27FC236}">
              <a16:creationId xmlns:a16="http://schemas.microsoft.com/office/drawing/2014/main" id="{00000000-0008-0000-0100-00006C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65" name="Text Box 3">
          <a:extLst>
            <a:ext uri="{FF2B5EF4-FFF2-40B4-BE49-F238E27FC236}">
              <a16:creationId xmlns:a16="http://schemas.microsoft.com/office/drawing/2014/main" id="{00000000-0008-0000-0100-00006D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66" name="Text Box 32">
          <a:extLst>
            <a:ext uri="{FF2B5EF4-FFF2-40B4-BE49-F238E27FC236}">
              <a16:creationId xmlns:a16="http://schemas.microsoft.com/office/drawing/2014/main" id="{00000000-0008-0000-0100-00006E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67" name="Text Box 3">
          <a:extLst>
            <a:ext uri="{FF2B5EF4-FFF2-40B4-BE49-F238E27FC236}">
              <a16:creationId xmlns:a16="http://schemas.microsoft.com/office/drawing/2014/main" id="{00000000-0008-0000-0100-00006F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68" name="Text Box 63">
          <a:extLst>
            <a:ext uri="{FF2B5EF4-FFF2-40B4-BE49-F238E27FC236}">
              <a16:creationId xmlns:a16="http://schemas.microsoft.com/office/drawing/2014/main" id="{00000000-0008-0000-0100-000070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69" name="Text Box 3">
          <a:extLst>
            <a:ext uri="{FF2B5EF4-FFF2-40B4-BE49-F238E27FC236}">
              <a16:creationId xmlns:a16="http://schemas.microsoft.com/office/drawing/2014/main" id="{00000000-0008-0000-0100-000071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70" name="Text Box 32">
          <a:extLst>
            <a:ext uri="{FF2B5EF4-FFF2-40B4-BE49-F238E27FC236}">
              <a16:creationId xmlns:a16="http://schemas.microsoft.com/office/drawing/2014/main" id="{00000000-0008-0000-0100-000072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71" name="Text Box 3">
          <a:extLst>
            <a:ext uri="{FF2B5EF4-FFF2-40B4-BE49-F238E27FC236}">
              <a16:creationId xmlns:a16="http://schemas.microsoft.com/office/drawing/2014/main" id="{00000000-0008-0000-0100-000073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72" name="Text Box 63">
          <a:extLst>
            <a:ext uri="{FF2B5EF4-FFF2-40B4-BE49-F238E27FC236}">
              <a16:creationId xmlns:a16="http://schemas.microsoft.com/office/drawing/2014/main" id="{00000000-0008-0000-0100-000074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73" name="Text Box 3">
          <a:extLst>
            <a:ext uri="{FF2B5EF4-FFF2-40B4-BE49-F238E27FC236}">
              <a16:creationId xmlns:a16="http://schemas.microsoft.com/office/drawing/2014/main" id="{00000000-0008-0000-0100-000075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74" name="Text Box 32">
          <a:extLst>
            <a:ext uri="{FF2B5EF4-FFF2-40B4-BE49-F238E27FC236}">
              <a16:creationId xmlns:a16="http://schemas.microsoft.com/office/drawing/2014/main" id="{00000000-0008-0000-0100-000076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75" name="Text Box 3">
          <a:extLst>
            <a:ext uri="{FF2B5EF4-FFF2-40B4-BE49-F238E27FC236}">
              <a16:creationId xmlns:a16="http://schemas.microsoft.com/office/drawing/2014/main" id="{00000000-0008-0000-0100-000077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76" name="Text Box 63">
          <a:extLst>
            <a:ext uri="{FF2B5EF4-FFF2-40B4-BE49-F238E27FC236}">
              <a16:creationId xmlns:a16="http://schemas.microsoft.com/office/drawing/2014/main" id="{00000000-0008-0000-0100-000078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77" name="Text Box 3">
          <a:extLst>
            <a:ext uri="{FF2B5EF4-FFF2-40B4-BE49-F238E27FC236}">
              <a16:creationId xmlns:a16="http://schemas.microsoft.com/office/drawing/2014/main" id="{00000000-0008-0000-0100-000079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78" name="Text Box 32">
          <a:extLst>
            <a:ext uri="{FF2B5EF4-FFF2-40B4-BE49-F238E27FC236}">
              <a16:creationId xmlns:a16="http://schemas.microsoft.com/office/drawing/2014/main" id="{00000000-0008-0000-0100-00007A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79" name="Text Box 3">
          <a:extLst>
            <a:ext uri="{FF2B5EF4-FFF2-40B4-BE49-F238E27FC236}">
              <a16:creationId xmlns:a16="http://schemas.microsoft.com/office/drawing/2014/main" id="{00000000-0008-0000-0100-00007B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80" name="Text Box 63">
          <a:extLst>
            <a:ext uri="{FF2B5EF4-FFF2-40B4-BE49-F238E27FC236}">
              <a16:creationId xmlns:a16="http://schemas.microsoft.com/office/drawing/2014/main" id="{00000000-0008-0000-0100-00007C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81" name="Text Box 3">
          <a:extLst>
            <a:ext uri="{FF2B5EF4-FFF2-40B4-BE49-F238E27FC236}">
              <a16:creationId xmlns:a16="http://schemas.microsoft.com/office/drawing/2014/main" id="{00000000-0008-0000-0100-00007D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82" name="Text Box 32">
          <a:extLst>
            <a:ext uri="{FF2B5EF4-FFF2-40B4-BE49-F238E27FC236}">
              <a16:creationId xmlns:a16="http://schemas.microsoft.com/office/drawing/2014/main" id="{00000000-0008-0000-0100-00007E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83" name="Text Box 3">
          <a:extLst>
            <a:ext uri="{FF2B5EF4-FFF2-40B4-BE49-F238E27FC236}">
              <a16:creationId xmlns:a16="http://schemas.microsoft.com/office/drawing/2014/main" id="{00000000-0008-0000-0100-00007F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84" name="Text Box 63">
          <a:extLst>
            <a:ext uri="{FF2B5EF4-FFF2-40B4-BE49-F238E27FC236}">
              <a16:creationId xmlns:a16="http://schemas.microsoft.com/office/drawing/2014/main" id="{00000000-0008-0000-0100-000080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85" name="Text Box 32">
          <a:extLst>
            <a:ext uri="{FF2B5EF4-FFF2-40B4-BE49-F238E27FC236}">
              <a16:creationId xmlns:a16="http://schemas.microsoft.com/office/drawing/2014/main" id="{00000000-0008-0000-0100-000081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86" name="Text Box 3">
          <a:extLst>
            <a:ext uri="{FF2B5EF4-FFF2-40B4-BE49-F238E27FC236}">
              <a16:creationId xmlns:a16="http://schemas.microsoft.com/office/drawing/2014/main" id="{00000000-0008-0000-0100-000082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87" name="Text Box 63">
          <a:extLst>
            <a:ext uri="{FF2B5EF4-FFF2-40B4-BE49-F238E27FC236}">
              <a16:creationId xmlns:a16="http://schemas.microsoft.com/office/drawing/2014/main" id="{00000000-0008-0000-0100-000083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88" name="Text Box 3">
          <a:extLst>
            <a:ext uri="{FF2B5EF4-FFF2-40B4-BE49-F238E27FC236}">
              <a16:creationId xmlns:a16="http://schemas.microsoft.com/office/drawing/2014/main" id="{00000000-0008-0000-0100-000084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89" name="Text Box 32">
          <a:extLst>
            <a:ext uri="{FF2B5EF4-FFF2-40B4-BE49-F238E27FC236}">
              <a16:creationId xmlns:a16="http://schemas.microsoft.com/office/drawing/2014/main" id="{00000000-0008-0000-0100-000085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90" name="Text Box 3">
          <a:extLst>
            <a:ext uri="{FF2B5EF4-FFF2-40B4-BE49-F238E27FC236}">
              <a16:creationId xmlns:a16="http://schemas.microsoft.com/office/drawing/2014/main" id="{00000000-0008-0000-0100-000086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91" name="Text Box 63">
          <a:extLst>
            <a:ext uri="{FF2B5EF4-FFF2-40B4-BE49-F238E27FC236}">
              <a16:creationId xmlns:a16="http://schemas.microsoft.com/office/drawing/2014/main" id="{00000000-0008-0000-0100-000087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92" name="Text Box 3">
          <a:extLst>
            <a:ext uri="{FF2B5EF4-FFF2-40B4-BE49-F238E27FC236}">
              <a16:creationId xmlns:a16="http://schemas.microsoft.com/office/drawing/2014/main" id="{00000000-0008-0000-0100-000088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93" name="Text Box 32">
          <a:extLst>
            <a:ext uri="{FF2B5EF4-FFF2-40B4-BE49-F238E27FC236}">
              <a16:creationId xmlns:a16="http://schemas.microsoft.com/office/drawing/2014/main" id="{00000000-0008-0000-0100-000089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94" name="Text Box 3">
          <a:extLst>
            <a:ext uri="{FF2B5EF4-FFF2-40B4-BE49-F238E27FC236}">
              <a16:creationId xmlns:a16="http://schemas.microsoft.com/office/drawing/2014/main" id="{00000000-0008-0000-0100-00008A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95" name="Text Box 63">
          <a:extLst>
            <a:ext uri="{FF2B5EF4-FFF2-40B4-BE49-F238E27FC236}">
              <a16:creationId xmlns:a16="http://schemas.microsoft.com/office/drawing/2014/main" id="{00000000-0008-0000-0100-00008B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96" name="Text Box 3">
          <a:extLst>
            <a:ext uri="{FF2B5EF4-FFF2-40B4-BE49-F238E27FC236}">
              <a16:creationId xmlns:a16="http://schemas.microsoft.com/office/drawing/2014/main" id="{00000000-0008-0000-0100-00008C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97" name="Text Box 32">
          <a:extLst>
            <a:ext uri="{FF2B5EF4-FFF2-40B4-BE49-F238E27FC236}">
              <a16:creationId xmlns:a16="http://schemas.microsoft.com/office/drawing/2014/main" id="{00000000-0008-0000-0100-00008D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98" name="Text Box 3">
          <a:extLst>
            <a:ext uri="{FF2B5EF4-FFF2-40B4-BE49-F238E27FC236}">
              <a16:creationId xmlns:a16="http://schemas.microsoft.com/office/drawing/2014/main" id="{00000000-0008-0000-0100-00008E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99" name="Text Box 63">
          <a:extLst>
            <a:ext uri="{FF2B5EF4-FFF2-40B4-BE49-F238E27FC236}">
              <a16:creationId xmlns:a16="http://schemas.microsoft.com/office/drawing/2014/main" id="{00000000-0008-0000-0100-00008F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00" name="Text Box 3">
          <a:extLst>
            <a:ext uri="{FF2B5EF4-FFF2-40B4-BE49-F238E27FC236}">
              <a16:creationId xmlns:a16="http://schemas.microsoft.com/office/drawing/2014/main" id="{00000000-0008-0000-0100-000090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01" name="Text Box 32">
          <a:extLst>
            <a:ext uri="{FF2B5EF4-FFF2-40B4-BE49-F238E27FC236}">
              <a16:creationId xmlns:a16="http://schemas.microsoft.com/office/drawing/2014/main" id="{00000000-0008-0000-0100-000091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02" name="Text Box 3">
          <a:extLst>
            <a:ext uri="{FF2B5EF4-FFF2-40B4-BE49-F238E27FC236}">
              <a16:creationId xmlns:a16="http://schemas.microsoft.com/office/drawing/2014/main" id="{00000000-0008-0000-0100-000092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03" name="Text Box 63">
          <a:extLst>
            <a:ext uri="{FF2B5EF4-FFF2-40B4-BE49-F238E27FC236}">
              <a16:creationId xmlns:a16="http://schemas.microsoft.com/office/drawing/2014/main" id="{00000000-0008-0000-0100-000093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04" name="Text Box 3">
          <a:extLst>
            <a:ext uri="{FF2B5EF4-FFF2-40B4-BE49-F238E27FC236}">
              <a16:creationId xmlns:a16="http://schemas.microsoft.com/office/drawing/2014/main" id="{00000000-0008-0000-0100-000094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05" name="Text Box 32">
          <a:extLst>
            <a:ext uri="{FF2B5EF4-FFF2-40B4-BE49-F238E27FC236}">
              <a16:creationId xmlns:a16="http://schemas.microsoft.com/office/drawing/2014/main" id="{00000000-0008-0000-0100-000095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06" name="Text Box 3">
          <a:extLst>
            <a:ext uri="{FF2B5EF4-FFF2-40B4-BE49-F238E27FC236}">
              <a16:creationId xmlns:a16="http://schemas.microsoft.com/office/drawing/2014/main" id="{00000000-0008-0000-0100-000096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07" name="Text Box 63">
          <a:extLst>
            <a:ext uri="{FF2B5EF4-FFF2-40B4-BE49-F238E27FC236}">
              <a16:creationId xmlns:a16="http://schemas.microsoft.com/office/drawing/2014/main" id="{00000000-0008-0000-0100-000097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08" name="Text Box 3">
          <a:extLst>
            <a:ext uri="{FF2B5EF4-FFF2-40B4-BE49-F238E27FC236}">
              <a16:creationId xmlns:a16="http://schemas.microsoft.com/office/drawing/2014/main" id="{00000000-0008-0000-0100-000098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09" name="Text Box 32">
          <a:extLst>
            <a:ext uri="{FF2B5EF4-FFF2-40B4-BE49-F238E27FC236}">
              <a16:creationId xmlns:a16="http://schemas.microsoft.com/office/drawing/2014/main" id="{00000000-0008-0000-0100-000099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10" name="Text Box 3">
          <a:extLst>
            <a:ext uri="{FF2B5EF4-FFF2-40B4-BE49-F238E27FC236}">
              <a16:creationId xmlns:a16="http://schemas.microsoft.com/office/drawing/2014/main" id="{00000000-0008-0000-0100-00009A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11" name="Text Box 63">
          <a:extLst>
            <a:ext uri="{FF2B5EF4-FFF2-40B4-BE49-F238E27FC236}">
              <a16:creationId xmlns:a16="http://schemas.microsoft.com/office/drawing/2014/main" id="{00000000-0008-0000-0100-00009B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12" name="Text Box 3">
          <a:extLst>
            <a:ext uri="{FF2B5EF4-FFF2-40B4-BE49-F238E27FC236}">
              <a16:creationId xmlns:a16="http://schemas.microsoft.com/office/drawing/2014/main" id="{00000000-0008-0000-0100-00009C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13" name="Text Box 32">
          <a:extLst>
            <a:ext uri="{FF2B5EF4-FFF2-40B4-BE49-F238E27FC236}">
              <a16:creationId xmlns:a16="http://schemas.microsoft.com/office/drawing/2014/main" id="{00000000-0008-0000-0100-00009D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14" name="Text Box 3">
          <a:extLst>
            <a:ext uri="{FF2B5EF4-FFF2-40B4-BE49-F238E27FC236}">
              <a16:creationId xmlns:a16="http://schemas.microsoft.com/office/drawing/2014/main" id="{00000000-0008-0000-0100-00009E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15" name="Text Box 63">
          <a:extLst>
            <a:ext uri="{FF2B5EF4-FFF2-40B4-BE49-F238E27FC236}">
              <a16:creationId xmlns:a16="http://schemas.microsoft.com/office/drawing/2014/main" id="{00000000-0008-0000-0100-00009F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16" name="Text Box 3">
          <a:extLst>
            <a:ext uri="{FF2B5EF4-FFF2-40B4-BE49-F238E27FC236}">
              <a16:creationId xmlns:a16="http://schemas.microsoft.com/office/drawing/2014/main" id="{00000000-0008-0000-0100-0000A0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17" name="Text Box 32">
          <a:extLst>
            <a:ext uri="{FF2B5EF4-FFF2-40B4-BE49-F238E27FC236}">
              <a16:creationId xmlns:a16="http://schemas.microsoft.com/office/drawing/2014/main" id="{00000000-0008-0000-0100-0000A1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18" name="Text Box 3">
          <a:extLst>
            <a:ext uri="{FF2B5EF4-FFF2-40B4-BE49-F238E27FC236}">
              <a16:creationId xmlns:a16="http://schemas.microsoft.com/office/drawing/2014/main" id="{00000000-0008-0000-0100-0000A2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19" name="Text Box 63">
          <a:extLst>
            <a:ext uri="{FF2B5EF4-FFF2-40B4-BE49-F238E27FC236}">
              <a16:creationId xmlns:a16="http://schemas.microsoft.com/office/drawing/2014/main" id="{00000000-0008-0000-0100-0000A3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20" name="Text Box 3">
          <a:extLst>
            <a:ext uri="{FF2B5EF4-FFF2-40B4-BE49-F238E27FC236}">
              <a16:creationId xmlns:a16="http://schemas.microsoft.com/office/drawing/2014/main" id="{00000000-0008-0000-0100-0000A4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21" name="Text Box 32">
          <a:extLst>
            <a:ext uri="{FF2B5EF4-FFF2-40B4-BE49-F238E27FC236}">
              <a16:creationId xmlns:a16="http://schemas.microsoft.com/office/drawing/2014/main" id="{00000000-0008-0000-0100-0000A5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22" name="Text Box 3">
          <a:extLst>
            <a:ext uri="{FF2B5EF4-FFF2-40B4-BE49-F238E27FC236}">
              <a16:creationId xmlns:a16="http://schemas.microsoft.com/office/drawing/2014/main" id="{00000000-0008-0000-0100-0000A6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23" name="Text Box 63">
          <a:extLst>
            <a:ext uri="{FF2B5EF4-FFF2-40B4-BE49-F238E27FC236}">
              <a16:creationId xmlns:a16="http://schemas.microsoft.com/office/drawing/2014/main" id="{00000000-0008-0000-0100-0000A7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24" name="Text Box 3">
          <a:extLst>
            <a:ext uri="{FF2B5EF4-FFF2-40B4-BE49-F238E27FC236}">
              <a16:creationId xmlns:a16="http://schemas.microsoft.com/office/drawing/2014/main" id="{00000000-0008-0000-0100-0000A8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25" name="Text Box 32">
          <a:extLst>
            <a:ext uri="{FF2B5EF4-FFF2-40B4-BE49-F238E27FC236}">
              <a16:creationId xmlns:a16="http://schemas.microsoft.com/office/drawing/2014/main" id="{00000000-0008-0000-0100-0000A9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26" name="Text Box 3">
          <a:extLst>
            <a:ext uri="{FF2B5EF4-FFF2-40B4-BE49-F238E27FC236}">
              <a16:creationId xmlns:a16="http://schemas.microsoft.com/office/drawing/2014/main" id="{00000000-0008-0000-0100-0000AA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27" name="Text Box 63">
          <a:extLst>
            <a:ext uri="{FF2B5EF4-FFF2-40B4-BE49-F238E27FC236}">
              <a16:creationId xmlns:a16="http://schemas.microsoft.com/office/drawing/2014/main" id="{00000000-0008-0000-0100-0000AB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28" name="Text Box 3">
          <a:extLst>
            <a:ext uri="{FF2B5EF4-FFF2-40B4-BE49-F238E27FC236}">
              <a16:creationId xmlns:a16="http://schemas.microsoft.com/office/drawing/2014/main" id="{00000000-0008-0000-0100-0000AC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29" name="Text Box 32">
          <a:extLst>
            <a:ext uri="{FF2B5EF4-FFF2-40B4-BE49-F238E27FC236}">
              <a16:creationId xmlns:a16="http://schemas.microsoft.com/office/drawing/2014/main" id="{00000000-0008-0000-0100-0000AD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30" name="Text Box 3">
          <a:extLst>
            <a:ext uri="{FF2B5EF4-FFF2-40B4-BE49-F238E27FC236}">
              <a16:creationId xmlns:a16="http://schemas.microsoft.com/office/drawing/2014/main" id="{00000000-0008-0000-0100-0000AE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31" name="Text Box 63">
          <a:extLst>
            <a:ext uri="{FF2B5EF4-FFF2-40B4-BE49-F238E27FC236}">
              <a16:creationId xmlns:a16="http://schemas.microsoft.com/office/drawing/2014/main" id="{00000000-0008-0000-0100-0000AF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32" name="Text Box 3">
          <a:extLst>
            <a:ext uri="{FF2B5EF4-FFF2-40B4-BE49-F238E27FC236}">
              <a16:creationId xmlns:a16="http://schemas.microsoft.com/office/drawing/2014/main" id="{00000000-0008-0000-0100-0000B0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33" name="Text Box 32">
          <a:extLst>
            <a:ext uri="{FF2B5EF4-FFF2-40B4-BE49-F238E27FC236}">
              <a16:creationId xmlns:a16="http://schemas.microsoft.com/office/drawing/2014/main" id="{00000000-0008-0000-0100-0000B1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34" name="Text Box 3">
          <a:extLst>
            <a:ext uri="{FF2B5EF4-FFF2-40B4-BE49-F238E27FC236}">
              <a16:creationId xmlns:a16="http://schemas.microsoft.com/office/drawing/2014/main" id="{00000000-0008-0000-0100-0000B2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35" name="Text Box 63">
          <a:extLst>
            <a:ext uri="{FF2B5EF4-FFF2-40B4-BE49-F238E27FC236}">
              <a16:creationId xmlns:a16="http://schemas.microsoft.com/office/drawing/2014/main" id="{00000000-0008-0000-0100-0000B3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36" name="Text Box 3">
          <a:extLst>
            <a:ext uri="{FF2B5EF4-FFF2-40B4-BE49-F238E27FC236}">
              <a16:creationId xmlns:a16="http://schemas.microsoft.com/office/drawing/2014/main" id="{00000000-0008-0000-0100-0000B4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37" name="Text Box 32">
          <a:extLst>
            <a:ext uri="{FF2B5EF4-FFF2-40B4-BE49-F238E27FC236}">
              <a16:creationId xmlns:a16="http://schemas.microsoft.com/office/drawing/2014/main" id="{00000000-0008-0000-0100-0000B5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38" name="Text Box 3">
          <a:extLst>
            <a:ext uri="{FF2B5EF4-FFF2-40B4-BE49-F238E27FC236}">
              <a16:creationId xmlns:a16="http://schemas.microsoft.com/office/drawing/2014/main" id="{00000000-0008-0000-0100-0000B6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39" name="Text Box 63">
          <a:extLst>
            <a:ext uri="{FF2B5EF4-FFF2-40B4-BE49-F238E27FC236}">
              <a16:creationId xmlns:a16="http://schemas.microsoft.com/office/drawing/2014/main" id="{00000000-0008-0000-0100-0000B7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40" name="Text Box 3">
          <a:extLst>
            <a:ext uri="{FF2B5EF4-FFF2-40B4-BE49-F238E27FC236}">
              <a16:creationId xmlns:a16="http://schemas.microsoft.com/office/drawing/2014/main" id="{00000000-0008-0000-0100-0000B8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41" name="Text Box 32">
          <a:extLst>
            <a:ext uri="{FF2B5EF4-FFF2-40B4-BE49-F238E27FC236}">
              <a16:creationId xmlns:a16="http://schemas.microsoft.com/office/drawing/2014/main" id="{00000000-0008-0000-0100-0000B9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42" name="Text Box 3">
          <a:extLst>
            <a:ext uri="{FF2B5EF4-FFF2-40B4-BE49-F238E27FC236}">
              <a16:creationId xmlns:a16="http://schemas.microsoft.com/office/drawing/2014/main" id="{00000000-0008-0000-0100-0000BA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43" name="Text Box 63">
          <a:extLst>
            <a:ext uri="{FF2B5EF4-FFF2-40B4-BE49-F238E27FC236}">
              <a16:creationId xmlns:a16="http://schemas.microsoft.com/office/drawing/2014/main" id="{00000000-0008-0000-0100-0000BB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44" name="Text Box 3">
          <a:extLst>
            <a:ext uri="{FF2B5EF4-FFF2-40B4-BE49-F238E27FC236}">
              <a16:creationId xmlns:a16="http://schemas.microsoft.com/office/drawing/2014/main" id="{00000000-0008-0000-0100-0000BC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45" name="Text Box 32">
          <a:extLst>
            <a:ext uri="{FF2B5EF4-FFF2-40B4-BE49-F238E27FC236}">
              <a16:creationId xmlns:a16="http://schemas.microsoft.com/office/drawing/2014/main" id="{00000000-0008-0000-0100-0000BD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46" name="Text Box 3">
          <a:extLst>
            <a:ext uri="{FF2B5EF4-FFF2-40B4-BE49-F238E27FC236}">
              <a16:creationId xmlns:a16="http://schemas.microsoft.com/office/drawing/2014/main" id="{00000000-0008-0000-0100-0000BE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47" name="Text Box 63">
          <a:extLst>
            <a:ext uri="{FF2B5EF4-FFF2-40B4-BE49-F238E27FC236}">
              <a16:creationId xmlns:a16="http://schemas.microsoft.com/office/drawing/2014/main" id="{00000000-0008-0000-0100-0000BF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48" name="Text Box 3">
          <a:extLst>
            <a:ext uri="{FF2B5EF4-FFF2-40B4-BE49-F238E27FC236}">
              <a16:creationId xmlns:a16="http://schemas.microsoft.com/office/drawing/2014/main" id="{00000000-0008-0000-0100-0000C0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49" name="Text Box 32">
          <a:extLst>
            <a:ext uri="{FF2B5EF4-FFF2-40B4-BE49-F238E27FC236}">
              <a16:creationId xmlns:a16="http://schemas.microsoft.com/office/drawing/2014/main" id="{00000000-0008-0000-0100-0000C1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50" name="Text Box 3">
          <a:extLst>
            <a:ext uri="{FF2B5EF4-FFF2-40B4-BE49-F238E27FC236}">
              <a16:creationId xmlns:a16="http://schemas.microsoft.com/office/drawing/2014/main" id="{00000000-0008-0000-0100-0000C2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51" name="Text Box 63">
          <a:extLst>
            <a:ext uri="{FF2B5EF4-FFF2-40B4-BE49-F238E27FC236}">
              <a16:creationId xmlns:a16="http://schemas.microsoft.com/office/drawing/2014/main" id="{00000000-0008-0000-0100-0000C3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52" name="Text Box 3">
          <a:extLst>
            <a:ext uri="{FF2B5EF4-FFF2-40B4-BE49-F238E27FC236}">
              <a16:creationId xmlns:a16="http://schemas.microsoft.com/office/drawing/2014/main" id="{00000000-0008-0000-0100-0000C4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53" name="Text Box 32">
          <a:extLst>
            <a:ext uri="{FF2B5EF4-FFF2-40B4-BE49-F238E27FC236}">
              <a16:creationId xmlns:a16="http://schemas.microsoft.com/office/drawing/2014/main" id="{00000000-0008-0000-0100-0000C5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54" name="Text Box 3">
          <a:extLst>
            <a:ext uri="{FF2B5EF4-FFF2-40B4-BE49-F238E27FC236}">
              <a16:creationId xmlns:a16="http://schemas.microsoft.com/office/drawing/2014/main" id="{00000000-0008-0000-0100-0000C6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55" name="Text Box 63">
          <a:extLst>
            <a:ext uri="{FF2B5EF4-FFF2-40B4-BE49-F238E27FC236}">
              <a16:creationId xmlns:a16="http://schemas.microsoft.com/office/drawing/2014/main" id="{00000000-0008-0000-0100-0000C7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56" name="Text Box 3">
          <a:extLst>
            <a:ext uri="{FF2B5EF4-FFF2-40B4-BE49-F238E27FC236}">
              <a16:creationId xmlns:a16="http://schemas.microsoft.com/office/drawing/2014/main" id="{00000000-0008-0000-0100-0000C8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57" name="Text Box 32">
          <a:extLst>
            <a:ext uri="{FF2B5EF4-FFF2-40B4-BE49-F238E27FC236}">
              <a16:creationId xmlns:a16="http://schemas.microsoft.com/office/drawing/2014/main" id="{00000000-0008-0000-0100-0000C9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58" name="Text Box 3">
          <a:extLst>
            <a:ext uri="{FF2B5EF4-FFF2-40B4-BE49-F238E27FC236}">
              <a16:creationId xmlns:a16="http://schemas.microsoft.com/office/drawing/2014/main" id="{00000000-0008-0000-0100-0000CA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59" name="Text Box 63">
          <a:extLst>
            <a:ext uri="{FF2B5EF4-FFF2-40B4-BE49-F238E27FC236}">
              <a16:creationId xmlns:a16="http://schemas.microsoft.com/office/drawing/2014/main" id="{00000000-0008-0000-0100-0000CB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60" name="Text Box 3">
          <a:extLst>
            <a:ext uri="{FF2B5EF4-FFF2-40B4-BE49-F238E27FC236}">
              <a16:creationId xmlns:a16="http://schemas.microsoft.com/office/drawing/2014/main" id="{00000000-0008-0000-0100-0000CC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61" name="Text Box 32">
          <a:extLst>
            <a:ext uri="{FF2B5EF4-FFF2-40B4-BE49-F238E27FC236}">
              <a16:creationId xmlns:a16="http://schemas.microsoft.com/office/drawing/2014/main" id="{00000000-0008-0000-0100-0000CD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62" name="Text Box 3">
          <a:extLst>
            <a:ext uri="{FF2B5EF4-FFF2-40B4-BE49-F238E27FC236}">
              <a16:creationId xmlns:a16="http://schemas.microsoft.com/office/drawing/2014/main" id="{00000000-0008-0000-0100-0000CE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63" name="Text Box 63">
          <a:extLst>
            <a:ext uri="{FF2B5EF4-FFF2-40B4-BE49-F238E27FC236}">
              <a16:creationId xmlns:a16="http://schemas.microsoft.com/office/drawing/2014/main" id="{00000000-0008-0000-0100-0000CF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64" name="Text Box 3">
          <a:extLst>
            <a:ext uri="{FF2B5EF4-FFF2-40B4-BE49-F238E27FC236}">
              <a16:creationId xmlns:a16="http://schemas.microsoft.com/office/drawing/2014/main" id="{00000000-0008-0000-0100-0000D0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65" name="Text Box 32">
          <a:extLst>
            <a:ext uri="{FF2B5EF4-FFF2-40B4-BE49-F238E27FC236}">
              <a16:creationId xmlns:a16="http://schemas.microsoft.com/office/drawing/2014/main" id="{00000000-0008-0000-0100-0000D1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66" name="Text Box 3">
          <a:extLst>
            <a:ext uri="{FF2B5EF4-FFF2-40B4-BE49-F238E27FC236}">
              <a16:creationId xmlns:a16="http://schemas.microsoft.com/office/drawing/2014/main" id="{00000000-0008-0000-0100-0000D2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67" name="Text Box 63">
          <a:extLst>
            <a:ext uri="{FF2B5EF4-FFF2-40B4-BE49-F238E27FC236}">
              <a16:creationId xmlns:a16="http://schemas.microsoft.com/office/drawing/2014/main" id="{00000000-0008-0000-0100-0000D3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68" name="Text Box 3">
          <a:extLst>
            <a:ext uri="{FF2B5EF4-FFF2-40B4-BE49-F238E27FC236}">
              <a16:creationId xmlns:a16="http://schemas.microsoft.com/office/drawing/2014/main" id="{00000000-0008-0000-0100-0000D4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69" name="Text Box 32">
          <a:extLst>
            <a:ext uri="{FF2B5EF4-FFF2-40B4-BE49-F238E27FC236}">
              <a16:creationId xmlns:a16="http://schemas.microsoft.com/office/drawing/2014/main" id="{00000000-0008-0000-0100-0000D5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70" name="Text Box 3">
          <a:extLst>
            <a:ext uri="{FF2B5EF4-FFF2-40B4-BE49-F238E27FC236}">
              <a16:creationId xmlns:a16="http://schemas.microsoft.com/office/drawing/2014/main" id="{00000000-0008-0000-0100-0000D6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71" name="Text Box 63">
          <a:extLst>
            <a:ext uri="{FF2B5EF4-FFF2-40B4-BE49-F238E27FC236}">
              <a16:creationId xmlns:a16="http://schemas.microsoft.com/office/drawing/2014/main" id="{00000000-0008-0000-0100-0000D7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72" name="Text Box 3">
          <a:extLst>
            <a:ext uri="{FF2B5EF4-FFF2-40B4-BE49-F238E27FC236}">
              <a16:creationId xmlns:a16="http://schemas.microsoft.com/office/drawing/2014/main" id="{00000000-0008-0000-0100-0000D8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73" name="Text Box 32">
          <a:extLst>
            <a:ext uri="{FF2B5EF4-FFF2-40B4-BE49-F238E27FC236}">
              <a16:creationId xmlns:a16="http://schemas.microsoft.com/office/drawing/2014/main" id="{00000000-0008-0000-0100-0000D9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74" name="Text Box 3">
          <a:extLst>
            <a:ext uri="{FF2B5EF4-FFF2-40B4-BE49-F238E27FC236}">
              <a16:creationId xmlns:a16="http://schemas.microsoft.com/office/drawing/2014/main" id="{00000000-0008-0000-0100-0000DA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75" name="Text Box 63">
          <a:extLst>
            <a:ext uri="{FF2B5EF4-FFF2-40B4-BE49-F238E27FC236}">
              <a16:creationId xmlns:a16="http://schemas.microsoft.com/office/drawing/2014/main" id="{00000000-0008-0000-0100-0000DB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76" name="Text Box 3">
          <a:extLst>
            <a:ext uri="{FF2B5EF4-FFF2-40B4-BE49-F238E27FC236}">
              <a16:creationId xmlns:a16="http://schemas.microsoft.com/office/drawing/2014/main" id="{00000000-0008-0000-0100-0000DC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77" name="Text Box 32">
          <a:extLst>
            <a:ext uri="{FF2B5EF4-FFF2-40B4-BE49-F238E27FC236}">
              <a16:creationId xmlns:a16="http://schemas.microsoft.com/office/drawing/2014/main" id="{00000000-0008-0000-0100-0000DD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78" name="Text Box 3">
          <a:extLst>
            <a:ext uri="{FF2B5EF4-FFF2-40B4-BE49-F238E27FC236}">
              <a16:creationId xmlns:a16="http://schemas.microsoft.com/office/drawing/2014/main" id="{00000000-0008-0000-0100-0000DE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79" name="Text Box 63">
          <a:extLst>
            <a:ext uri="{FF2B5EF4-FFF2-40B4-BE49-F238E27FC236}">
              <a16:creationId xmlns:a16="http://schemas.microsoft.com/office/drawing/2014/main" id="{00000000-0008-0000-0100-0000DF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80" name="Text Box 3">
          <a:extLst>
            <a:ext uri="{FF2B5EF4-FFF2-40B4-BE49-F238E27FC236}">
              <a16:creationId xmlns:a16="http://schemas.microsoft.com/office/drawing/2014/main" id="{00000000-0008-0000-0100-0000E0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81" name="Text Box 32">
          <a:extLst>
            <a:ext uri="{FF2B5EF4-FFF2-40B4-BE49-F238E27FC236}">
              <a16:creationId xmlns:a16="http://schemas.microsoft.com/office/drawing/2014/main" id="{00000000-0008-0000-0100-0000E1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82" name="Text Box 3">
          <a:extLst>
            <a:ext uri="{FF2B5EF4-FFF2-40B4-BE49-F238E27FC236}">
              <a16:creationId xmlns:a16="http://schemas.microsoft.com/office/drawing/2014/main" id="{00000000-0008-0000-0100-0000E2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83" name="Text Box 63">
          <a:extLst>
            <a:ext uri="{FF2B5EF4-FFF2-40B4-BE49-F238E27FC236}">
              <a16:creationId xmlns:a16="http://schemas.microsoft.com/office/drawing/2014/main" id="{00000000-0008-0000-0100-0000E3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84" name="Text Box 3">
          <a:extLst>
            <a:ext uri="{FF2B5EF4-FFF2-40B4-BE49-F238E27FC236}">
              <a16:creationId xmlns:a16="http://schemas.microsoft.com/office/drawing/2014/main" id="{00000000-0008-0000-0100-0000E4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85" name="Text Box 32">
          <a:extLst>
            <a:ext uri="{FF2B5EF4-FFF2-40B4-BE49-F238E27FC236}">
              <a16:creationId xmlns:a16="http://schemas.microsoft.com/office/drawing/2014/main" id="{00000000-0008-0000-0100-0000E5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86" name="Text Box 3">
          <a:extLst>
            <a:ext uri="{FF2B5EF4-FFF2-40B4-BE49-F238E27FC236}">
              <a16:creationId xmlns:a16="http://schemas.microsoft.com/office/drawing/2014/main" id="{00000000-0008-0000-0100-0000E6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87" name="Text Box 63">
          <a:extLst>
            <a:ext uri="{FF2B5EF4-FFF2-40B4-BE49-F238E27FC236}">
              <a16:creationId xmlns:a16="http://schemas.microsoft.com/office/drawing/2014/main" id="{00000000-0008-0000-0100-0000E7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88" name="Text Box 3">
          <a:extLst>
            <a:ext uri="{FF2B5EF4-FFF2-40B4-BE49-F238E27FC236}">
              <a16:creationId xmlns:a16="http://schemas.microsoft.com/office/drawing/2014/main" id="{00000000-0008-0000-0100-0000E8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89" name="Text Box 32">
          <a:extLst>
            <a:ext uri="{FF2B5EF4-FFF2-40B4-BE49-F238E27FC236}">
              <a16:creationId xmlns:a16="http://schemas.microsoft.com/office/drawing/2014/main" id="{00000000-0008-0000-0100-0000E9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90" name="Text Box 3">
          <a:extLst>
            <a:ext uri="{FF2B5EF4-FFF2-40B4-BE49-F238E27FC236}">
              <a16:creationId xmlns:a16="http://schemas.microsoft.com/office/drawing/2014/main" id="{00000000-0008-0000-0100-0000EA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91" name="Text Box 63">
          <a:extLst>
            <a:ext uri="{FF2B5EF4-FFF2-40B4-BE49-F238E27FC236}">
              <a16:creationId xmlns:a16="http://schemas.microsoft.com/office/drawing/2014/main" id="{00000000-0008-0000-0100-0000EB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92" name="Text Box 3">
          <a:extLst>
            <a:ext uri="{FF2B5EF4-FFF2-40B4-BE49-F238E27FC236}">
              <a16:creationId xmlns:a16="http://schemas.microsoft.com/office/drawing/2014/main" id="{00000000-0008-0000-0100-0000EC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93" name="Text Box 32">
          <a:extLst>
            <a:ext uri="{FF2B5EF4-FFF2-40B4-BE49-F238E27FC236}">
              <a16:creationId xmlns:a16="http://schemas.microsoft.com/office/drawing/2014/main" id="{00000000-0008-0000-0100-0000ED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94" name="Text Box 3">
          <a:extLst>
            <a:ext uri="{FF2B5EF4-FFF2-40B4-BE49-F238E27FC236}">
              <a16:creationId xmlns:a16="http://schemas.microsoft.com/office/drawing/2014/main" id="{00000000-0008-0000-0100-0000EE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95" name="Text Box 63">
          <a:extLst>
            <a:ext uri="{FF2B5EF4-FFF2-40B4-BE49-F238E27FC236}">
              <a16:creationId xmlns:a16="http://schemas.microsoft.com/office/drawing/2014/main" id="{00000000-0008-0000-0100-0000EF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96" name="Text Box 3">
          <a:extLst>
            <a:ext uri="{FF2B5EF4-FFF2-40B4-BE49-F238E27FC236}">
              <a16:creationId xmlns:a16="http://schemas.microsoft.com/office/drawing/2014/main" id="{00000000-0008-0000-0100-0000F0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97" name="Text Box 32">
          <a:extLst>
            <a:ext uri="{FF2B5EF4-FFF2-40B4-BE49-F238E27FC236}">
              <a16:creationId xmlns:a16="http://schemas.microsoft.com/office/drawing/2014/main" id="{00000000-0008-0000-0100-0000F1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498" name="Text Box 3">
          <a:extLst>
            <a:ext uri="{FF2B5EF4-FFF2-40B4-BE49-F238E27FC236}">
              <a16:creationId xmlns:a16="http://schemas.microsoft.com/office/drawing/2014/main" id="{00000000-0008-0000-0100-0000F2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499" name="Text Box 63">
          <a:extLst>
            <a:ext uri="{FF2B5EF4-FFF2-40B4-BE49-F238E27FC236}">
              <a16:creationId xmlns:a16="http://schemas.microsoft.com/office/drawing/2014/main" id="{00000000-0008-0000-0100-0000F3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00" name="Text Box 3">
          <a:extLst>
            <a:ext uri="{FF2B5EF4-FFF2-40B4-BE49-F238E27FC236}">
              <a16:creationId xmlns:a16="http://schemas.microsoft.com/office/drawing/2014/main" id="{00000000-0008-0000-0100-0000F4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01" name="Text Box 32">
          <a:extLst>
            <a:ext uri="{FF2B5EF4-FFF2-40B4-BE49-F238E27FC236}">
              <a16:creationId xmlns:a16="http://schemas.microsoft.com/office/drawing/2014/main" id="{00000000-0008-0000-0100-0000F5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02" name="Text Box 3">
          <a:extLst>
            <a:ext uri="{FF2B5EF4-FFF2-40B4-BE49-F238E27FC236}">
              <a16:creationId xmlns:a16="http://schemas.microsoft.com/office/drawing/2014/main" id="{00000000-0008-0000-0100-0000F6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03" name="Text Box 63">
          <a:extLst>
            <a:ext uri="{FF2B5EF4-FFF2-40B4-BE49-F238E27FC236}">
              <a16:creationId xmlns:a16="http://schemas.microsoft.com/office/drawing/2014/main" id="{00000000-0008-0000-0100-0000F7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04" name="Text Box 3">
          <a:extLst>
            <a:ext uri="{FF2B5EF4-FFF2-40B4-BE49-F238E27FC236}">
              <a16:creationId xmlns:a16="http://schemas.microsoft.com/office/drawing/2014/main" id="{00000000-0008-0000-0100-0000F8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05" name="Text Box 32">
          <a:extLst>
            <a:ext uri="{FF2B5EF4-FFF2-40B4-BE49-F238E27FC236}">
              <a16:creationId xmlns:a16="http://schemas.microsoft.com/office/drawing/2014/main" id="{00000000-0008-0000-0100-0000F9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06" name="Text Box 3">
          <a:extLst>
            <a:ext uri="{FF2B5EF4-FFF2-40B4-BE49-F238E27FC236}">
              <a16:creationId xmlns:a16="http://schemas.microsoft.com/office/drawing/2014/main" id="{00000000-0008-0000-0100-0000FA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07" name="Text Box 63">
          <a:extLst>
            <a:ext uri="{FF2B5EF4-FFF2-40B4-BE49-F238E27FC236}">
              <a16:creationId xmlns:a16="http://schemas.microsoft.com/office/drawing/2014/main" id="{00000000-0008-0000-0100-0000FB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08" name="Text Box 3">
          <a:extLst>
            <a:ext uri="{FF2B5EF4-FFF2-40B4-BE49-F238E27FC236}">
              <a16:creationId xmlns:a16="http://schemas.microsoft.com/office/drawing/2014/main" id="{00000000-0008-0000-0100-0000FC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09" name="Text Box 32">
          <a:extLst>
            <a:ext uri="{FF2B5EF4-FFF2-40B4-BE49-F238E27FC236}">
              <a16:creationId xmlns:a16="http://schemas.microsoft.com/office/drawing/2014/main" id="{00000000-0008-0000-0100-0000FD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10" name="Text Box 3">
          <a:extLst>
            <a:ext uri="{FF2B5EF4-FFF2-40B4-BE49-F238E27FC236}">
              <a16:creationId xmlns:a16="http://schemas.microsoft.com/office/drawing/2014/main" id="{00000000-0008-0000-0100-0000FE01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11" name="Text Box 63">
          <a:extLst>
            <a:ext uri="{FF2B5EF4-FFF2-40B4-BE49-F238E27FC236}">
              <a16:creationId xmlns:a16="http://schemas.microsoft.com/office/drawing/2014/main" id="{00000000-0008-0000-0100-0000FF01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12" name="Text Box 3">
          <a:extLst>
            <a:ext uri="{FF2B5EF4-FFF2-40B4-BE49-F238E27FC236}">
              <a16:creationId xmlns:a16="http://schemas.microsoft.com/office/drawing/2014/main" id="{00000000-0008-0000-0100-000000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13" name="Text Box 32">
          <a:extLst>
            <a:ext uri="{FF2B5EF4-FFF2-40B4-BE49-F238E27FC236}">
              <a16:creationId xmlns:a16="http://schemas.microsoft.com/office/drawing/2014/main" id="{00000000-0008-0000-0100-000001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14" name="Text Box 3">
          <a:extLst>
            <a:ext uri="{FF2B5EF4-FFF2-40B4-BE49-F238E27FC236}">
              <a16:creationId xmlns:a16="http://schemas.microsoft.com/office/drawing/2014/main" id="{00000000-0008-0000-0100-000002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15" name="Text Box 63">
          <a:extLst>
            <a:ext uri="{FF2B5EF4-FFF2-40B4-BE49-F238E27FC236}">
              <a16:creationId xmlns:a16="http://schemas.microsoft.com/office/drawing/2014/main" id="{00000000-0008-0000-0100-000003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16" name="Text Box 3">
          <a:extLst>
            <a:ext uri="{FF2B5EF4-FFF2-40B4-BE49-F238E27FC236}">
              <a16:creationId xmlns:a16="http://schemas.microsoft.com/office/drawing/2014/main" id="{00000000-0008-0000-0100-000004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17" name="Text Box 32">
          <a:extLst>
            <a:ext uri="{FF2B5EF4-FFF2-40B4-BE49-F238E27FC236}">
              <a16:creationId xmlns:a16="http://schemas.microsoft.com/office/drawing/2014/main" id="{00000000-0008-0000-0100-000005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18" name="Text Box 3">
          <a:extLst>
            <a:ext uri="{FF2B5EF4-FFF2-40B4-BE49-F238E27FC236}">
              <a16:creationId xmlns:a16="http://schemas.microsoft.com/office/drawing/2014/main" id="{00000000-0008-0000-0100-000006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19" name="Text Box 63">
          <a:extLst>
            <a:ext uri="{FF2B5EF4-FFF2-40B4-BE49-F238E27FC236}">
              <a16:creationId xmlns:a16="http://schemas.microsoft.com/office/drawing/2014/main" id="{00000000-0008-0000-0100-000007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20" name="Text Box 3">
          <a:extLst>
            <a:ext uri="{FF2B5EF4-FFF2-40B4-BE49-F238E27FC236}">
              <a16:creationId xmlns:a16="http://schemas.microsoft.com/office/drawing/2014/main" id="{00000000-0008-0000-0100-000008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21" name="Text Box 32">
          <a:extLst>
            <a:ext uri="{FF2B5EF4-FFF2-40B4-BE49-F238E27FC236}">
              <a16:creationId xmlns:a16="http://schemas.microsoft.com/office/drawing/2014/main" id="{00000000-0008-0000-0100-000009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22" name="Text Box 3">
          <a:extLst>
            <a:ext uri="{FF2B5EF4-FFF2-40B4-BE49-F238E27FC236}">
              <a16:creationId xmlns:a16="http://schemas.microsoft.com/office/drawing/2014/main" id="{00000000-0008-0000-0100-00000A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23" name="Text Box 63">
          <a:extLst>
            <a:ext uri="{FF2B5EF4-FFF2-40B4-BE49-F238E27FC236}">
              <a16:creationId xmlns:a16="http://schemas.microsoft.com/office/drawing/2014/main" id="{00000000-0008-0000-0100-00000B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24" name="Text Box 3">
          <a:extLst>
            <a:ext uri="{FF2B5EF4-FFF2-40B4-BE49-F238E27FC236}">
              <a16:creationId xmlns:a16="http://schemas.microsoft.com/office/drawing/2014/main" id="{00000000-0008-0000-0100-00000C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25" name="Text Box 32">
          <a:extLst>
            <a:ext uri="{FF2B5EF4-FFF2-40B4-BE49-F238E27FC236}">
              <a16:creationId xmlns:a16="http://schemas.microsoft.com/office/drawing/2014/main" id="{00000000-0008-0000-0100-00000D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26" name="Text Box 3">
          <a:extLst>
            <a:ext uri="{FF2B5EF4-FFF2-40B4-BE49-F238E27FC236}">
              <a16:creationId xmlns:a16="http://schemas.microsoft.com/office/drawing/2014/main" id="{00000000-0008-0000-0100-00000E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27" name="Text Box 63">
          <a:extLst>
            <a:ext uri="{FF2B5EF4-FFF2-40B4-BE49-F238E27FC236}">
              <a16:creationId xmlns:a16="http://schemas.microsoft.com/office/drawing/2014/main" id="{00000000-0008-0000-0100-00000F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28" name="Text Box 3">
          <a:extLst>
            <a:ext uri="{FF2B5EF4-FFF2-40B4-BE49-F238E27FC236}">
              <a16:creationId xmlns:a16="http://schemas.microsoft.com/office/drawing/2014/main" id="{00000000-0008-0000-0100-000010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29" name="Text Box 32">
          <a:extLst>
            <a:ext uri="{FF2B5EF4-FFF2-40B4-BE49-F238E27FC236}">
              <a16:creationId xmlns:a16="http://schemas.microsoft.com/office/drawing/2014/main" id="{00000000-0008-0000-0100-000011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30" name="Text Box 3">
          <a:extLst>
            <a:ext uri="{FF2B5EF4-FFF2-40B4-BE49-F238E27FC236}">
              <a16:creationId xmlns:a16="http://schemas.microsoft.com/office/drawing/2014/main" id="{00000000-0008-0000-0100-000012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31" name="Text Box 63">
          <a:extLst>
            <a:ext uri="{FF2B5EF4-FFF2-40B4-BE49-F238E27FC236}">
              <a16:creationId xmlns:a16="http://schemas.microsoft.com/office/drawing/2014/main" id="{00000000-0008-0000-0100-000013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32" name="Text Box 3">
          <a:extLst>
            <a:ext uri="{FF2B5EF4-FFF2-40B4-BE49-F238E27FC236}">
              <a16:creationId xmlns:a16="http://schemas.microsoft.com/office/drawing/2014/main" id="{00000000-0008-0000-0100-000014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33" name="Text Box 32">
          <a:extLst>
            <a:ext uri="{FF2B5EF4-FFF2-40B4-BE49-F238E27FC236}">
              <a16:creationId xmlns:a16="http://schemas.microsoft.com/office/drawing/2014/main" id="{00000000-0008-0000-0100-000015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34" name="Text Box 3">
          <a:extLst>
            <a:ext uri="{FF2B5EF4-FFF2-40B4-BE49-F238E27FC236}">
              <a16:creationId xmlns:a16="http://schemas.microsoft.com/office/drawing/2014/main" id="{00000000-0008-0000-0100-000016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35" name="Text Box 63">
          <a:extLst>
            <a:ext uri="{FF2B5EF4-FFF2-40B4-BE49-F238E27FC236}">
              <a16:creationId xmlns:a16="http://schemas.microsoft.com/office/drawing/2014/main" id="{00000000-0008-0000-0100-000017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36" name="Text Box 3">
          <a:extLst>
            <a:ext uri="{FF2B5EF4-FFF2-40B4-BE49-F238E27FC236}">
              <a16:creationId xmlns:a16="http://schemas.microsoft.com/office/drawing/2014/main" id="{00000000-0008-0000-0100-000018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37" name="Text Box 32">
          <a:extLst>
            <a:ext uri="{FF2B5EF4-FFF2-40B4-BE49-F238E27FC236}">
              <a16:creationId xmlns:a16="http://schemas.microsoft.com/office/drawing/2014/main" id="{00000000-0008-0000-0100-000019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38" name="Text Box 3">
          <a:extLst>
            <a:ext uri="{FF2B5EF4-FFF2-40B4-BE49-F238E27FC236}">
              <a16:creationId xmlns:a16="http://schemas.microsoft.com/office/drawing/2014/main" id="{00000000-0008-0000-0100-00001A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39" name="Text Box 63">
          <a:extLst>
            <a:ext uri="{FF2B5EF4-FFF2-40B4-BE49-F238E27FC236}">
              <a16:creationId xmlns:a16="http://schemas.microsoft.com/office/drawing/2014/main" id="{00000000-0008-0000-0100-00001B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40" name="Text Box 3">
          <a:extLst>
            <a:ext uri="{FF2B5EF4-FFF2-40B4-BE49-F238E27FC236}">
              <a16:creationId xmlns:a16="http://schemas.microsoft.com/office/drawing/2014/main" id="{00000000-0008-0000-0100-00001C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41" name="Text Box 32">
          <a:extLst>
            <a:ext uri="{FF2B5EF4-FFF2-40B4-BE49-F238E27FC236}">
              <a16:creationId xmlns:a16="http://schemas.microsoft.com/office/drawing/2014/main" id="{00000000-0008-0000-0100-00001D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42" name="Text Box 3">
          <a:extLst>
            <a:ext uri="{FF2B5EF4-FFF2-40B4-BE49-F238E27FC236}">
              <a16:creationId xmlns:a16="http://schemas.microsoft.com/office/drawing/2014/main" id="{00000000-0008-0000-0100-00001E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43" name="Text Box 63">
          <a:extLst>
            <a:ext uri="{FF2B5EF4-FFF2-40B4-BE49-F238E27FC236}">
              <a16:creationId xmlns:a16="http://schemas.microsoft.com/office/drawing/2014/main" id="{00000000-0008-0000-0100-00001F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44" name="Text Box 3">
          <a:extLst>
            <a:ext uri="{FF2B5EF4-FFF2-40B4-BE49-F238E27FC236}">
              <a16:creationId xmlns:a16="http://schemas.microsoft.com/office/drawing/2014/main" id="{00000000-0008-0000-0100-000020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45" name="Text Box 32">
          <a:extLst>
            <a:ext uri="{FF2B5EF4-FFF2-40B4-BE49-F238E27FC236}">
              <a16:creationId xmlns:a16="http://schemas.microsoft.com/office/drawing/2014/main" id="{00000000-0008-0000-0100-000021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46" name="Text Box 3">
          <a:extLst>
            <a:ext uri="{FF2B5EF4-FFF2-40B4-BE49-F238E27FC236}">
              <a16:creationId xmlns:a16="http://schemas.microsoft.com/office/drawing/2014/main" id="{00000000-0008-0000-0100-000022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47" name="Text Box 63">
          <a:extLst>
            <a:ext uri="{FF2B5EF4-FFF2-40B4-BE49-F238E27FC236}">
              <a16:creationId xmlns:a16="http://schemas.microsoft.com/office/drawing/2014/main" id="{00000000-0008-0000-0100-000023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48" name="Text Box 3">
          <a:extLst>
            <a:ext uri="{FF2B5EF4-FFF2-40B4-BE49-F238E27FC236}">
              <a16:creationId xmlns:a16="http://schemas.microsoft.com/office/drawing/2014/main" id="{00000000-0008-0000-0100-000024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49" name="Text Box 32">
          <a:extLst>
            <a:ext uri="{FF2B5EF4-FFF2-40B4-BE49-F238E27FC236}">
              <a16:creationId xmlns:a16="http://schemas.microsoft.com/office/drawing/2014/main" id="{00000000-0008-0000-0100-000025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50" name="Text Box 3">
          <a:extLst>
            <a:ext uri="{FF2B5EF4-FFF2-40B4-BE49-F238E27FC236}">
              <a16:creationId xmlns:a16="http://schemas.microsoft.com/office/drawing/2014/main" id="{00000000-0008-0000-0100-000026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51" name="Text Box 63">
          <a:extLst>
            <a:ext uri="{FF2B5EF4-FFF2-40B4-BE49-F238E27FC236}">
              <a16:creationId xmlns:a16="http://schemas.microsoft.com/office/drawing/2014/main" id="{00000000-0008-0000-0100-000027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52" name="Text Box 3">
          <a:extLst>
            <a:ext uri="{FF2B5EF4-FFF2-40B4-BE49-F238E27FC236}">
              <a16:creationId xmlns:a16="http://schemas.microsoft.com/office/drawing/2014/main" id="{00000000-0008-0000-0100-000028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53" name="Text Box 32">
          <a:extLst>
            <a:ext uri="{FF2B5EF4-FFF2-40B4-BE49-F238E27FC236}">
              <a16:creationId xmlns:a16="http://schemas.microsoft.com/office/drawing/2014/main" id="{00000000-0008-0000-0100-000029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54" name="Text Box 3">
          <a:extLst>
            <a:ext uri="{FF2B5EF4-FFF2-40B4-BE49-F238E27FC236}">
              <a16:creationId xmlns:a16="http://schemas.microsoft.com/office/drawing/2014/main" id="{00000000-0008-0000-0100-00002A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55" name="Text Box 63">
          <a:extLst>
            <a:ext uri="{FF2B5EF4-FFF2-40B4-BE49-F238E27FC236}">
              <a16:creationId xmlns:a16="http://schemas.microsoft.com/office/drawing/2014/main" id="{00000000-0008-0000-0100-00002B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56" name="Text Box 3">
          <a:extLst>
            <a:ext uri="{FF2B5EF4-FFF2-40B4-BE49-F238E27FC236}">
              <a16:creationId xmlns:a16="http://schemas.microsoft.com/office/drawing/2014/main" id="{00000000-0008-0000-0100-00002C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57" name="Text Box 32">
          <a:extLst>
            <a:ext uri="{FF2B5EF4-FFF2-40B4-BE49-F238E27FC236}">
              <a16:creationId xmlns:a16="http://schemas.microsoft.com/office/drawing/2014/main" id="{00000000-0008-0000-0100-00002D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58" name="Text Box 3">
          <a:extLst>
            <a:ext uri="{FF2B5EF4-FFF2-40B4-BE49-F238E27FC236}">
              <a16:creationId xmlns:a16="http://schemas.microsoft.com/office/drawing/2014/main" id="{00000000-0008-0000-0100-00002E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59" name="Text Box 63">
          <a:extLst>
            <a:ext uri="{FF2B5EF4-FFF2-40B4-BE49-F238E27FC236}">
              <a16:creationId xmlns:a16="http://schemas.microsoft.com/office/drawing/2014/main" id="{00000000-0008-0000-0100-00002F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60" name="Text Box 3">
          <a:extLst>
            <a:ext uri="{FF2B5EF4-FFF2-40B4-BE49-F238E27FC236}">
              <a16:creationId xmlns:a16="http://schemas.microsoft.com/office/drawing/2014/main" id="{00000000-0008-0000-0100-000030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61" name="Text Box 32">
          <a:extLst>
            <a:ext uri="{FF2B5EF4-FFF2-40B4-BE49-F238E27FC236}">
              <a16:creationId xmlns:a16="http://schemas.microsoft.com/office/drawing/2014/main" id="{00000000-0008-0000-0100-000031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62" name="Text Box 3">
          <a:extLst>
            <a:ext uri="{FF2B5EF4-FFF2-40B4-BE49-F238E27FC236}">
              <a16:creationId xmlns:a16="http://schemas.microsoft.com/office/drawing/2014/main" id="{00000000-0008-0000-0100-000032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63" name="Text Box 63">
          <a:extLst>
            <a:ext uri="{FF2B5EF4-FFF2-40B4-BE49-F238E27FC236}">
              <a16:creationId xmlns:a16="http://schemas.microsoft.com/office/drawing/2014/main" id="{00000000-0008-0000-0100-000033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64" name="Text Box 3">
          <a:extLst>
            <a:ext uri="{FF2B5EF4-FFF2-40B4-BE49-F238E27FC236}">
              <a16:creationId xmlns:a16="http://schemas.microsoft.com/office/drawing/2014/main" id="{00000000-0008-0000-0100-000034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65" name="Text Box 32">
          <a:extLst>
            <a:ext uri="{FF2B5EF4-FFF2-40B4-BE49-F238E27FC236}">
              <a16:creationId xmlns:a16="http://schemas.microsoft.com/office/drawing/2014/main" id="{00000000-0008-0000-0100-000035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66" name="Text Box 3">
          <a:extLst>
            <a:ext uri="{FF2B5EF4-FFF2-40B4-BE49-F238E27FC236}">
              <a16:creationId xmlns:a16="http://schemas.microsoft.com/office/drawing/2014/main" id="{00000000-0008-0000-0100-000036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67" name="Text Box 63">
          <a:extLst>
            <a:ext uri="{FF2B5EF4-FFF2-40B4-BE49-F238E27FC236}">
              <a16:creationId xmlns:a16="http://schemas.microsoft.com/office/drawing/2014/main" id="{00000000-0008-0000-0100-000037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68" name="Text Box 3">
          <a:extLst>
            <a:ext uri="{FF2B5EF4-FFF2-40B4-BE49-F238E27FC236}">
              <a16:creationId xmlns:a16="http://schemas.microsoft.com/office/drawing/2014/main" id="{00000000-0008-0000-0100-000038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69" name="Text Box 32">
          <a:extLst>
            <a:ext uri="{FF2B5EF4-FFF2-40B4-BE49-F238E27FC236}">
              <a16:creationId xmlns:a16="http://schemas.microsoft.com/office/drawing/2014/main" id="{00000000-0008-0000-0100-000039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70" name="Text Box 3">
          <a:extLst>
            <a:ext uri="{FF2B5EF4-FFF2-40B4-BE49-F238E27FC236}">
              <a16:creationId xmlns:a16="http://schemas.microsoft.com/office/drawing/2014/main" id="{00000000-0008-0000-0100-00003A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71" name="Text Box 63">
          <a:extLst>
            <a:ext uri="{FF2B5EF4-FFF2-40B4-BE49-F238E27FC236}">
              <a16:creationId xmlns:a16="http://schemas.microsoft.com/office/drawing/2014/main" id="{00000000-0008-0000-0100-00003B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72" name="Text Box 3">
          <a:extLst>
            <a:ext uri="{FF2B5EF4-FFF2-40B4-BE49-F238E27FC236}">
              <a16:creationId xmlns:a16="http://schemas.microsoft.com/office/drawing/2014/main" id="{00000000-0008-0000-0100-00003C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73" name="Text Box 32">
          <a:extLst>
            <a:ext uri="{FF2B5EF4-FFF2-40B4-BE49-F238E27FC236}">
              <a16:creationId xmlns:a16="http://schemas.microsoft.com/office/drawing/2014/main" id="{00000000-0008-0000-0100-00003D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74" name="Text Box 3">
          <a:extLst>
            <a:ext uri="{FF2B5EF4-FFF2-40B4-BE49-F238E27FC236}">
              <a16:creationId xmlns:a16="http://schemas.microsoft.com/office/drawing/2014/main" id="{00000000-0008-0000-0100-00003E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75" name="Text Box 63">
          <a:extLst>
            <a:ext uri="{FF2B5EF4-FFF2-40B4-BE49-F238E27FC236}">
              <a16:creationId xmlns:a16="http://schemas.microsoft.com/office/drawing/2014/main" id="{00000000-0008-0000-0100-00003F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76" name="Text Box 3">
          <a:extLst>
            <a:ext uri="{FF2B5EF4-FFF2-40B4-BE49-F238E27FC236}">
              <a16:creationId xmlns:a16="http://schemas.microsoft.com/office/drawing/2014/main" id="{00000000-0008-0000-0100-000040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77" name="Text Box 32">
          <a:extLst>
            <a:ext uri="{FF2B5EF4-FFF2-40B4-BE49-F238E27FC236}">
              <a16:creationId xmlns:a16="http://schemas.microsoft.com/office/drawing/2014/main" id="{00000000-0008-0000-0100-000041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78" name="Text Box 3">
          <a:extLst>
            <a:ext uri="{FF2B5EF4-FFF2-40B4-BE49-F238E27FC236}">
              <a16:creationId xmlns:a16="http://schemas.microsoft.com/office/drawing/2014/main" id="{00000000-0008-0000-0100-000042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79" name="Text Box 63">
          <a:extLst>
            <a:ext uri="{FF2B5EF4-FFF2-40B4-BE49-F238E27FC236}">
              <a16:creationId xmlns:a16="http://schemas.microsoft.com/office/drawing/2014/main" id="{00000000-0008-0000-0100-000043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80" name="Text Box 3">
          <a:extLst>
            <a:ext uri="{FF2B5EF4-FFF2-40B4-BE49-F238E27FC236}">
              <a16:creationId xmlns:a16="http://schemas.microsoft.com/office/drawing/2014/main" id="{00000000-0008-0000-0100-000044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81" name="Text Box 32">
          <a:extLst>
            <a:ext uri="{FF2B5EF4-FFF2-40B4-BE49-F238E27FC236}">
              <a16:creationId xmlns:a16="http://schemas.microsoft.com/office/drawing/2014/main" id="{00000000-0008-0000-0100-000045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82" name="Text Box 3">
          <a:extLst>
            <a:ext uri="{FF2B5EF4-FFF2-40B4-BE49-F238E27FC236}">
              <a16:creationId xmlns:a16="http://schemas.microsoft.com/office/drawing/2014/main" id="{00000000-0008-0000-0100-000046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83" name="Text Box 63">
          <a:extLst>
            <a:ext uri="{FF2B5EF4-FFF2-40B4-BE49-F238E27FC236}">
              <a16:creationId xmlns:a16="http://schemas.microsoft.com/office/drawing/2014/main" id="{00000000-0008-0000-0100-000047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84" name="Text Box 3">
          <a:extLst>
            <a:ext uri="{FF2B5EF4-FFF2-40B4-BE49-F238E27FC236}">
              <a16:creationId xmlns:a16="http://schemas.microsoft.com/office/drawing/2014/main" id="{00000000-0008-0000-0100-000048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85" name="Text Box 32">
          <a:extLst>
            <a:ext uri="{FF2B5EF4-FFF2-40B4-BE49-F238E27FC236}">
              <a16:creationId xmlns:a16="http://schemas.microsoft.com/office/drawing/2014/main" id="{00000000-0008-0000-0100-000049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86" name="Text Box 3">
          <a:extLst>
            <a:ext uri="{FF2B5EF4-FFF2-40B4-BE49-F238E27FC236}">
              <a16:creationId xmlns:a16="http://schemas.microsoft.com/office/drawing/2014/main" id="{00000000-0008-0000-0100-00004A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87" name="Text Box 63">
          <a:extLst>
            <a:ext uri="{FF2B5EF4-FFF2-40B4-BE49-F238E27FC236}">
              <a16:creationId xmlns:a16="http://schemas.microsoft.com/office/drawing/2014/main" id="{00000000-0008-0000-0100-00004B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88" name="Text Box 3">
          <a:extLst>
            <a:ext uri="{FF2B5EF4-FFF2-40B4-BE49-F238E27FC236}">
              <a16:creationId xmlns:a16="http://schemas.microsoft.com/office/drawing/2014/main" id="{00000000-0008-0000-0100-00004C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89" name="Text Box 32">
          <a:extLst>
            <a:ext uri="{FF2B5EF4-FFF2-40B4-BE49-F238E27FC236}">
              <a16:creationId xmlns:a16="http://schemas.microsoft.com/office/drawing/2014/main" id="{00000000-0008-0000-0100-00004D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90" name="Text Box 3">
          <a:extLst>
            <a:ext uri="{FF2B5EF4-FFF2-40B4-BE49-F238E27FC236}">
              <a16:creationId xmlns:a16="http://schemas.microsoft.com/office/drawing/2014/main" id="{00000000-0008-0000-0100-00004E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91" name="Text Box 63">
          <a:extLst>
            <a:ext uri="{FF2B5EF4-FFF2-40B4-BE49-F238E27FC236}">
              <a16:creationId xmlns:a16="http://schemas.microsoft.com/office/drawing/2014/main" id="{00000000-0008-0000-0100-00004F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92" name="Text Box 3">
          <a:extLst>
            <a:ext uri="{FF2B5EF4-FFF2-40B4-BE49-F238E27FC236}">
              <a16:creationId xmlns:a16="http://schemas.microsoft.com/office/drawing/2014/main" id="{00000000-0008-0000-0100-000050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93" name="Text Box 32">
          <a:extLst>
            <a:ext uri="{FF2B5EF4-FFF2-40B4-BE49-F238E27FC236}">
              <a16:creationId xmlns:a16="http://schemas.microsoft.com/office/drawing/2014/main" id="{00000000-0008-0000-0100-000051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94" name="Text Box 3">
          <a:extLst>
            <a:ext uri="{FF2B5EF4-FFF2-40B4-BE49-F238E27FC236}">
              <a16:creationId xmlns:a16="http://schemas.microsoft.com/office/drawing/2014/main" id="{00000000-0008-0000-0100-000052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95" name="Text Box 63">
          <a:extLst>
            <a:ext uri="{FF2B5EF4-FFF2-40B4-BE49-F238E27FC236}">
              <a16:creationId xmlns:a16="http://schemas.microsoft.com/office/drawing/2014/main" id="{00000000-0008-0000-0100-000053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96" name="Text Box 3">
          <a:extLst>
            <a:ext uri="{FF2B5EF4-FFF2-40B4-BE49-F238E27FC236}">
              <a16:creationId xmlns:a16="http://schemas.microsoft.com/office/drawing/2014/main" id="{00000000-0008-0000-0100-000054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97" name="Text Box 32">
          <a:extLst>
            <a:ext uri="{FF2B5EF4-FFF2-40B4-BE49-F238E27FC236}">
              <a16:creationId xmlns:a16="http://schemas.microsoft.com/office/drawing/2014/main" id="{00000000-0008-0000-0100-000055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598" name="Text Box 3">
          <a:extLst>
            <a:ext uri="{FF2B5EF4-FFF2-40B4-BE49-F238E27FC236}">
              <a16:creationId xmlns:a16="http://schemas.microsoft.com/office/drawing/2014/main" id="{00000000-0008-0000-0100-000056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599" name="Text Box 63">
          <a:extLst>
            <a:ext uri="{FF2B5EF4-FFF2-40B4-BE49-F238E27FC236}">
              <a16:creationId xmlns:a16="http://schemas.microsoft.com/office/drawing/2014/main" id="{00000000-0008-0000-0100-000057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00" name="Text Box 3">
          <a:extLst>
            <a:ext uri="{FF2B5EF4-FFF2-40B4-BE49-F238E27FC236}">
              <a16:creationId xmlns:a16="http://schemas.microsoft.com/office/drawing/2014/main" id="{00000000-0008-0000-0100-000058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01" name="Text Box 32">
          <a:extLst>
            <a:ext uri="{FF2B5EF4-FFF2-40B4-BE49-F238E27FC236}">
              <a16:creationId xmlns:a16="http://schemas.microsoft.com/office/drawing/2014/main" id="{00000000-0008-0000-0100-000059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02" name="Text Box 3">
          <a:extLst>
            <a:ext uri="{FF2B5EF4-FFF2-40B4-BE49-F238E27FC236}">
              <a16:creationId xmlns:a16="http://schemas.microsoft.com/office/drawing/2014/main" id="{00000000-0008-0000-0100-00005A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03" name="Text Box 63">
          <a:extLst>
            <a:ext uri="{FF2B5EF4-FFF2-40B4-BE49-F238E27FC236}">
              <a16:creationId xmlns:a16="http://schemas.microsoft.com/office/drawing/2014/main" id="{00000000-0008-0000-0100-00005B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04" name="Text Box 3">
          <a:extLst>
            <a:ext uri="{FF2B5EF4-FFF2-40B4-BE49-F238E27FC236}">
              <a16:creationId xmlns:a16="http://schemas.microsoft.com/office/drawing/2014/main" id="{00000000-0008-0000-0100-00005C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05" name="Text Box 32">
          <a:extLst>
            <a:ext uri="{FF2B5EF4-FFF2-40B4-BE49-F238E27FC236}">
              <a16:creationId xmlns:a16="http://schemas.microsoft.com/office/drawing/2014/main" id="{00000000-0008-0000-0100-00005D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06" name="Text Box 3">
          <a:extLst>
            <a:ext uri="{FF2B5EF4-FFF2-40B4-BE49-F238E27FC236}">
              <a16:creationId xmlns:a16="http://schemas.microsoft.com/office/drawing/2014/main" id="{00000000-0008-0000-0100-00005E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07" name="Text Box 63">
          <a:extLst>
            <a:ext uri="{FF2B5EF4-FFF2-40B4-BE49-F238E27FC236}">
              <a16:creationId xmlns:a16="http://schemas.microsoft.com/office/drawing/2014/main" id="{00000000-0008-0000-0100-00005F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08" name="Text Box 3">
          <a:extLst>
            <a:ext uri="{FF2B5EF4-FFF2-40B4-BE49-F238E27FC236}">
              <a16:creationId xmlns:a16="http://schemas.microsoft.com/office/drawing/2014/main" id="{00000000-0008-0000-0100-000060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09" name="Text Box 32">
          <a:extLst>
            <a:ext uri="{FF2B5EF4-FFF2-40B4-BE49-F238E27FC236}">
              <a16:creationId xmlns:a16="http://schemas.microsoft.com/office/drawing/2014/main" id="{00000000-0008-0000-0100-000061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10" name="Text Box 3">
          <a:extLst>
            <a:ext uri="{FF2B5EF4-FFF2-40B4-BE49-F238E27FC236}">
              <a16:creationId xmlns:a16="http://schemas.microsoft.com/office/drawing/2014/main" id="{00000000-0008-0000-0100-000062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11" name="Text Box 63">
          <a:extLst>
            <a:ext uri="{FF2B5EF4-FFF2-40B4-BE49-F238E27FC236}">
              <a16:creationId xmlns:a16="http://schemas.microsoft.com/office/drawing/2014/main" id="{00000000-0008-0000-0100-000063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12" name="Text Box 3">
          <a:extLst>
            <a:ext uri="{FF2B5EF4-FFF2-40B4-BE49-F238E27FC236}">
              <a16:creationId xmlns:a16="http://schemas.microsoft.com/office/drawing/2014/main" id="{00000000-0008-0000-0100-000064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13" name="Text Box 32">
          <a:extLst>
            <a:ext uri="{FF2B5EF4-FFF2-40B4-BE49-F238E27FC236}">
              <a16:creationId xmlns:a16="http://schemas.microsoft.com/office/drawing/2014/main" id="{00000000-0008-0000-0100-000065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14" name="Text Box 3">
          <a:extLst>
            <a:ext uri="{FF2B5EF4-FFF2-40B4-BE49-F238E27FC236}">
              <a16:creationId xmlns:a16="http://schemas.microsoft.com/office/drawing/2014/main" id="{00000000-0008-0000-0100-000066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15" name="Text Box 63">
          <a:extLst>
            <a:ext uri="{FF2B5EF4-FFF2-40B4-BE49-F238E27FC236}">
              <a16:creationId xmlns:a16="http://schemas.microsoft.com/office/drawing/2014/main" id="{00000000-0008-0000-0100-000067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16" name="Text Box 3">
          <a:extLst>
            <a:ext uri="{FF2B5EF4-FFF2-40B4-BE49-F238E27FC236}">
              <a16:creationId xmlns:a16="http://schemas.microsoft.com/office/drawing/2014/main" id="{00000000-0008-0000-0100-000068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17" name="Text Box 32">
          <a:extLst>
            <a:ext uri="{FF2B5EF4-FFF2-40B4-BE49-F238E27FC236}">
              <a16:creationId xmlns:a16="http://schemas.microsoft.com/office/drawing/2014/main" id="{00000000-0008-0000-0100-000069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18" name="Text Box 3">
          <a:extLst>
            <a:ext uri="{FF2B5EF4-FFF2-40B4-BE49-F238E27FC236}">
              <a16:creationId xmlns:a16="http://schemas.microsoft.com/office/drawing/2014/main" id="{00000000-0008-0000-0100-00006A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19" name="Text Box 63">
          <a:extLst>
            <a:ext uri="{FF2B5EF4-FFF2-40B4-BE49-F238E27FC236}">
              <a16:creationId xmlns:a16="http://schemas.microsoft.com/office/drawing/2014/main" id="{00000000-0008-0000-0100-00006B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20" name="Text Box 3">
          <a:extLst>
            <a:ext uri="{FF2B5EF4-FFF2-40B4-BE49-F238E27FC236}">
              <a16:creationId xmlns:a16="http://schemas.microsoft.com/office/drawing/2014/main" id="{00000000-0008-0000-0100-00006C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21" name="Text Box 32">
          <a:extLst>
            <a:ext uri="{FF2B5EF4-FFF2-40B4-BE49-F238E27FC236}">
              <a16:creationId xmlns:a16="http://schemas.microsoft.com/office/drawing/2014/main" id="{00000000-0008-0000-0100-00006D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22" name="Text Box 3">
          <a:extLst>
            <a:ext uri="{FF2B5EF4-FFF2-40B4-BE49-F238E27FC236}">
              <a16:creationId xmlns:a16="http://schemas.microsoft.com/office/drawing/2014/main" id="{00000000-0008-0000-0100-00006E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23" name="Text Box 63">
          <a:extLst>
            <a:ext uri="{FF2B5EF4-FFF2-40B4-BE49-F238E27FC236}">
              <a16:creationId xmlns:a16="http://schemas.microsoft.com/office/drawing/2014/main" id="{00000000-0008-0000-0100-00006F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24" name="Text Box 3">
          <a:extLst>
            <a:ext uri="{FF2B5EF4-FFF2-40B4-BE49-F238E27FC236}">
              <a16:creationId xmlns:a16="http://schemas.microsoft.com/office/drawing/2014/main" id="{00000000-0008-0000-0100-000070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25" name="Text Box 32">
          <a:extLst>
            <a:ext uri="{FF2B5EF4-FFF2-40B4-BE49-F238E27FC236}">
              <a16:creationId xmlns:a16="http://schemas.microsoft.com/office/drawing/2014/main" id="{00000000-0008-0000-0100-000071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26" name="Text Box 3">
          <a:extLst>
            <a:ext uri="{FF2B5EF4-FFF2-40B4-BE49-F238E27FC236}">
              <a16:creationId xmlns:a16="http://schemas.microsoft.com/office/drawing/2014/main" id="{00000000-0008-0000-0100-000072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27" name="Text Box 63">
          <a:extLst>
            <a:ext uri="{FF2B5EF4-FFF2-40B4-BE49-F238E27FC236}">
              <a16:creationId xmlns:a16="http://schemas.microsoft.com/office/drawing/2014/main" id="{00000000-0008-0000-0100-000073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28" name="Text Box 3">
          <a:extLst>
            <a:ext uri="{FF2B5EF4-FFF2-40B4-BE49-F238E27FC236}">
              <a16:creationId xmlns:a16="http://schemas.microsoft.com/office/drawing/2014/main" id="{00000000-0008-0000-0100-000074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29" name="Text Box 32">
          <a:extLst>
            <a:ext uri="{FF2B5EF4-FFF2-40B4-BE49-F238E27FC236}">
              <a16:creationId xmlns:a16="http://schemas.microsoft.com/office/drawing/2014/main" id="{00000000-0008-0000-0100-000075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30" name="Text Box 3">
          <a:extLst>
            <a:ext uri="{FF2B5EF4-FFF2-40B4-BE49-F238E27FC236}">
              <a16:creationId xmlns:a16="http://schemas.microsoft.com/office/drawing/2014/main" id="{00000000-0008-0000-0100-000076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31" name="Text Box 63">
          <a:extLst>
            <a:ext uri="{FF2B5EF4-FFF2-40B4-BE49-F238E27FC236}">
              <a16:creationId xmlns:a16="http://schemas.microsoft.com/office/drawing/2014/main" id="{00000000-0008-0000-0100-000077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32" name="Text Box 3">
          <a:extLst>
            <a:ext uri="{FF2B5EF4-FFF2-40B4-BE49-F238E27FC236}">
              <a16:creationId xmlns:a16="http://schemas.microsoft.com/office/drawing/2014/main" id="{00000000-0008-0000-0100-000078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33" name="Text Box 32">
          <a:extLst>
            <a:ext uri="{FF2B5EF4-FFF2-40B4-BE49-F238E27FC236}">
              <a16:creationId xmlns:a16="http://schemas.microsoft.com/office/drawing/2014/main" id="{00000000-0008-0000-0100-000079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34" name="Text Box 3">
          <a:extLst>
            <a:ext uri="{FF2B5EF4-FFF2-40B4-BE49-F238E27FC236}">
              <a16:creationId xmlns:a16="http://schemas.microsoft.com/office/drawing/2014/main" id="{00000000-0008-0000-0100-00007A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35" name="Text Box 63">
          <a:extLst>
            <a:ext uri="{FF2B5EF4-FFF2-40B4-BE49-F238E27FC236}">
              <a16:creationId xmlns:a16="http://schemas.microsoft.com/office/drawing/2014/main" id="{00000000-0008-0000-0100-00007B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36" name="Text Box 3">
          <a:extLst>
            <a:ext uri="{FF2B5EF4-FFF2-40B4-BE49-F238E27FC236}">
              <a16:creationId xmlns:a16="http://schemas.microsoft.com/office/drawing/2014/main" id="{00000000-0008-0000-0100-00007C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37" name="Text Box 32">
          <a:extLst>
            <a:ext uri="{FF2B5EF4-FFF2-40B4-BE49-F238E27FC236}">
              <a16:creationId xmlns:a16="http://schemas.microsoft.com/office/drawing/2014/main" id="{00000000-0008-0000-0100-00007D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38" name="Text Box 3">
          <a:extLst>
            <a:ext uri="{FF2B5EF4-FFF2-40B4-BE49-F238E27FC236}">
              <a16:creationId xmlns:a16="http://schemas.microsoft.com/office/drawing/2014/main" id="{00000000-0008-0000-0100-00007E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39" name="Text Box 63">
          <a:extLst>
            <a:ext uri="{FF2B5EF4-FFF2-40B4-BE49-F238E27FC236}">
              <a16:creationId xmlns:a16="http://schemas.microsoft.com/office/drawing/2014/main" id="{00000000-0008-0000-0100-00007F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40" name="Text Box 32">
          <a:extLst>
            <a:ext uri="{FF2B5EF4-FFF2-40B4-BE49-F238E27FC236}">
              <a16:creationId xmlns:a16="http://schemas.microsoft.com/office/drawing/2014/main" id="{00000000-0008-0000-0100-000080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41" name="Text Box 3">
          <a:extLst>
            <a:ext uri="{FF2B5EF4-FFF2-40B4-BE49-F238E27FC236}">
              <a16:creationId xmlns:a16="http://schemas.microsoft.com/office/drawing/2014/main" id="{00000000-0008-0000-0100-000081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42" name="Text Box 63">
          <a:extLst>
            <a:ext uri="{FF2B5EF4-FFF2-40B4-BE49-F238E27FC236}">
              <a16:creationId xmlns:a16="http://schemas.microsoft.com/office/drawing/2014/main" id="{00000000-0008-0000-0100-000082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43" name="Text Box 3">
          <a:extLst>
            <a:ext uri="{FF2B5EF4-FFF2-40B4-BE49-F238E27FC236}">
              <a16:creationId xmlns:a16="http://schemas.microsoft.com/office/drawing/2014/main" id="{00000000-0008-0000-0100-000083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44" name="Text Box 32">
          <a:extLst>
            <a:ext uri="{FF2B5EF4-FFF2-40B4-BE49-F238E27FC236}">
              <a16:creationId xmlns:a16="http://schemas.microsoft.com/office/drawing/2014/main" id="{00000000-0008-0000-0100-000084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45" name="Text Box 3">
          <a:extLst>
            <a:ext uri="{FF2B5EF4-FFF2-40B4-BE49-F238E27FC236}">
              <a16:creationId xmlns:a16="http://schemas.microsoft.com/office/drawing/2014/main" id="{00000000-0008-0000-0100-000085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46" name="Text Box 63">
          <a:extLst>
            <a:ext uri="{FF2B5EF4-FFF2-40B4-BE49-F238E27FC236}">
              <a16:creationId xmlns:a16="http://schemas.microsoft.com/office/drawing/2014/main" id="{00000000-0008-0000-0100-000086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47" name="Text Box 3">
          <a:extLst>
            <a:ext uri="{FF2B5EF4-FFF2-40B4-BE49-F238E27FC236}">
              <a16:creationId xmlns:a16="http://schemas.microsoft.com/office/drawing/2014/main" id="{00000000-0008-0000-0100-000087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48" name="Text Box 32">
          <a:extLst>
            <a:ext uri="{FF2B5EF4-FFF2-40B4-BE49-F238E27FC236}">
              <a16:creationId xmlns:a16="http://schemas.microsoft.com/office/drawing/2014/main" id="{00000000-0008-0000-0100-000088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49" name="Text Box 3">
          <a:extLst>
            <a:ext uri="{FF2B5EF4-FFF2-40B4-BE49-F238E27FC236}">
              <a16:creationId xmlns:a16="http://schemas.microsoft.com/office/drawing/2014/main" id="{00000000-0008-0000-0100-000089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50" name="Text Box 63">
          <a:extLst>
            <a:ext uri="{FF2B5EF4-FFF2-40B4-BE49-F238E27FC236}">
              <a16:creationId xmlns:a16="http://schemas.microsoft.com/office/drawing/2014/main" id="{00000000-0008-0000-0100-00008A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51" name="Text Box 3">
          <a:extLst>
            <a:ext uri="{FF2B5EF4-FFF2-40B4-BE49-F238E27FC236}">
              <a16:creationId xmlns:a16="http://schemas.microsoft.com/office/drawing/2014/main" id="{00000000-0008-0000-0100-00008B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52" name="Text Box 32">
          <a:extLst>
            <a:ext uri="{FF2B5EF4-FFF2-40B4-BE49-F238E27FC236}">
              <a16:creationId xmlns:a16="http://schemas.microsoft.com/office/drawing/2014/main" id="{00000000-0008-0000-0100-00008C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53" name="Text Box 3">
          <a:extLst>
            <a:ext uri="{FF2B5EF4-FFF2-40B4-BE49-F238E27FC236}">
              <a16:creationId xmlns:a16="http://schemas.microsoft.com/office/drawing/2014/main" id="{00000000-0008-0000-0100-00008D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54" name="Text Box 63">
          <a:extLst>
            <a:ext uri="{FF2B5EF4-FFF2-40B4-BE49-F238E27FC236}">
              <a16:creationId xmlns:a16="http://schemas.microsoft.com/office/drawing/2014/main" id="{00000000-0008-0000-0100-00008E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55" name="Text Box 3">
          <a:extLst>
            <a:ext uri="{FF2B5EF4-FFF2-40B4-BE49-F238E27FC236}">
              <a16:creationId xmlns:a16="http://schemas.microsoft.com/office/drawing/2014/main" id="{00000000-0008-0000-0100-00008F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56" name="Text Box 32">
          <a:extLst>
            <a:ext uri="{FF2B5EF4-FFF2-40B4-BE49-F238E27FC236}">
              <a16:creationId xmlns:a16="http://schemas.microsoft.com/office/drawing/2014/main" id="{00000000-0008-0000-0100-000090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57" name="Text Box 3">
          <a:extLst>
            <a:ext uri="{FF2B5EF4-FFF2-40B4-BE49-F238E27FC236}">
              <a16:creationId xmlns:a16="http://schemas.microsoft.com/office/drawing/2014/main" id="{00000000-0008-0000-0100-000091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58" name="Text Box 63">
          <a:extLst>
            <a:ext uri="{FF2B5EF4-FFF2-40B4-BE49-F238E27FC236}">
              <a16:creationId xmlns:a16="http://schemas.microsoft.com/office/drawing/2014/main" id="{00000000-0008-0000-0100-000092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59" name="Text Box 3">
          <a:extLst>
            <a:ext uri="{FF2B5EF4-FFF2-40B4-BE49-F238E27FC236}">
              <a16:creationId xmlns:a16="http://schemas.microsoft.com/office/drawing/2014/main" id="{00000000-0008-0000-0100-000093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60" name="Text Box 32">
          <a:extLst>
            <a:ext uri="{FF2B5EF4-FFF2-40B4-BE49-F238E27FC236}">
              <a16:creationId xmlns:a16="http://schemas.microsoft.com/office/drawing/2014/main" id="{00000000-0008-0000-0100-000094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61" name="Text Box 3">
          <a:extLst>
            <a:ext uri="{FF2B5EF4-FFF2-40B4-BE49-F238E27FC236}">
              <a16:creationId xmlns:a16="http://schemas.microsoft.com/office/drawing/2014/main" id="{00000000-0008-0000-0100-000095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62" name="Text Box 63">
          <a:extLst>
            <a:ext uri="{FF2B5EF4-FFF2-40B4-BE49-F238E27FC236}">
              <a16:creationId xmlns:a16="http://schemas.microsoft.com/office/drawing/2014/main" id="{00000000-0008-0000-0100-000096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63" name="Text Box 3">
          <a:extLst>
            <a:ext uri="{FF2B5EF4-FFF2-40B4-BE49-F238E27FC236}">
              <a16:creationId xmlns:a16="http://schemas.microsoft.com/office/drawing/2014/main" id="{00000000-0008-0000-0100-000097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64" name="Text Box 32">
          <a:extLst>
            <a:ext uri="{FF2B5EF4-FFF2-40B4-BE49-F238E27FC236}">
              <a16:creationId xmlns:a16="http://schemas.microsoft.com/office/drawing/2014/main" id="{00000000-0008-0000-0100-000098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65" name="Text Box 3">
          <a:extLst>
            <a:ext uri="{FF2B5EF4-FFF2-40B4-BE49-F238E27FC236}">
              <a16:creationId xmlns:a16="http://schemas.microsoft.com/office/drawing/2014/main" id="{00000000-0008-0000-0100-000099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66" name="Text Box 63">
          <a:extLst>
            <a:ext uri="{FF2B5EF4-FFF2-40B4-BE49-F238E27FC236}">
              <a16:creationId xmlns:a16="http://schemas.microsoft.com/office/drawing/2014/main" id="{00000000-0008-0000-0100-00009A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67" name="Text Box 3">
          <a:extLst>
            <a:ext uri="{FF2B5EF4-FFF2-40B4-BE49-F238E27FC236}">
              <a16:creationId xmlns:a16="http://schemas.microsoft.com/office/drawing/2014/main" id="{00000000-0008-0000-0100-00009B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68" name="Text Box 32">
          <a:extLst>
            <a:ext uri="{FF2B5EF4-FFF2-40B4-BE49-F238E27FC236}">
              <a16:creationId xmlns:a16="http://schemas.microsoft.com/office/drawing/2014/main" id="{00000000-0008-0000-0100-00009C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69" name="Text Box 3">
          <a:extLst>
            <a:ext uri="{FF2B5EF4-FFF2-40B4-BE49-F238E27FC236}">
              <a16:creationId xmlns:a16="http://schemas.microsoft.com/office/drawing/2014/main" id="{00000000-0008-0000-0100-00009D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70" name="Text Box 63">
          <a:extLst>
            <a:ext uri="{FF2B5EF4-FFF2-40B4-BE49-F238E27FC236}">
              <a16:creationId xmlns:a16="http://schemas.microsoft.com/office/drawing/2014/main" id="{00000000-0008-0000-0100-00009E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71" name="Text Box 3">
          <a:extLst>
            <a:ext uri="{FF2B5EF4-FFF2-40B4-BE49-F238E27FC236}">
              <a16:creationId xmlns:a16="http://schemas.microsoft.com/office/drawing/2014/main" id="{00000000-0008-0000-0100-00009F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72" name="Text Box 32">
          <a:extLst>
            <a:ext uri="{FF2B5EF4-FFF2-40B4-BE49-F238E27FC236}">
              <a16:creationId xmlns:a16="http://schemas.microsoft.com/office/drawing/2014/main" id="{00000000-0008-0000-0100-0000A0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73" name="Text Box 3">
          <a:extLst>
            <a:ext uri="{FF2B5EF4-FFF2-40B4-BE49-F238E27FC236}">
              <a16:creationId xmlns:a16="http://schemas.microsoft.com/office/drawing/2014/main" id="{00000000-0008-0000-0100-0000A1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74" name="Text Box 63">
          <a:extLst>
            <a:ext uri="{FF2B5EF4-FFF2-40B4-BE49-F238E27FC236}">
              <a16:creationId xmlns:a16="http://schemas.microsoft.com/office/drawing/2014/main" id="{00000000-0008-0000-0100-0000A2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75" name="Text Box 3">
          <a:extLst>
            <a:ext uri="{FF2B5EF4-FFF2-40B4-BE49-F238E27FC236}">
              <a16:creationId xmlns:a16="http://schemas.microsoft.com/office/drawing/2014/main" id="{00000000-0008-0000-0100-0000A3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76" name="Text Box 32">
          <a:extLst>
            <a:ext uri="{FF2B5EF4-FFF2-40B4-BE49-F238E27FC236}">
              <a16:creationId xmlns:a16="http://schemas.microsoft.com/office/drawing/2014/main" id="{00000000-0008-0000-0100-0000A4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77" name="Text Box 3">
          <a:extLst>
            <a:ext uri="{FF2B5EF4-FFF2-40B4-BE49-F238E27FC236}">
              <a16:creationId xmlns:a16="http://schemas.microsoft.com/office/drawing/2014/main" id="{00000000-0008-0000-0100-0000A5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78" name="Text Box 63">
          <a:extLst>
            <a:ext uri="{FF2B5EF4-FFF2-40B4-BE49-F238E27FC236}">
              <a16:creationId xmlns:a16="http://schemas.microsoft.com/office/drawing/2014/main" id="{00000000-0008-0000-0100-0000A6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79" name="Text Box 3">
          <a:extLst>
            <a:ext uri="{FF2B5EF4-FFF2-40B4-BE49-F238E27FC236}">
              <a16:creationId xmlns:a16="http://schemas.microsoft.com/office/drawing/2014/main" id="{00000000-0008-0000-0100-0000A7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80" name="Text Box 32">
          <a:extLst>
            <a:ext uri="{FF2B5EF4-FFF2-40B4-BE49-F238E27FC236}">
              <a16:creationId xmlns:a16="http://schemas.microsoft.com/office/drawing/2014/main" id="{00000000-0008-0000-0100-0000A8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81" name="Text Box 3">
          <a:extLst>
            <a:ext uri="{FF2B5EF4-FFF2-40B4-BE49-F238E27FC236}">
              <a16:creationId xmlns:a16="http://schemas.microsoft.com/office/drawing/2014/main" id="{00000000-0008-0000-0100-0000A9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82" name="Text Box 63">
          <a:extLst>
            <a:ext uri="{FF2B5EF4-FFF2-40B4-BE49-F238E27FC236}">
              <a16:creationId xmlns:a16="http://schemas.microsoft.com/office/drawing/2014/main" id="{00000000-0008-0000-0100-0000AA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83" name="Text Box 3">
          <a:extLst>
            <a:ext uri="{FF2B5EF4-FFF2-40B4-BE49-F238E27FC236}">
              <a16:creationId xmlns:a16="http://schemas.microsoft.com/office/drawing/2014/main" id="{00000000-0008-0000-0100-0000AB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84" name="Text Box 32">
          <a:extLst>
            <a:ext uri="{FF2B5EF4-FFF2-40B4-BE49-F238E27FC236}">
              <a16:creationId xmlns:a16="http://schemas.microsoft.com/office/drawing/2014/main" id="{00000000-0008-0000-0100-0000AC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85" name="Text Box 3">
          <a:extLst>
            <a:ext uri="{FF2B5EF4-FFF2-40B4-BE49-F238E27FC236}">
              <a16:creationId xmlns:a16="http://schemas.microsoft.com/office/drawing/2014/main" id="{00000000-0008-0000-0100-0000AD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86" name="Text Box 63">
          <a:extLst>
            <a:ext uri="{FF2B5EF4-FFF2-40B4-BE49-F238E27FC236}">
              <a16:creationId xmlns:a16="http://schemas.microsoft.com/office/drawing/2014/main" id="{00000000-0008-0000-0100-0000AE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87" name="Text Box 3">
          <a:extLst>
            <a:ext uri="{FF2B5EF4-FFF2-40B4-BE49-F238E27FC236}">
              <a16:creationId xmlns:a16="http://schemas.microsoft.com/office/drawing/2014/main" id="{00000000-0008-0000-0100-0000AF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88" name="Text Box 32">
          <a:extLst>
            <a:ext uri="{FF2B5EF4-FFF2-40B4-BE49-F238E27FC236}">
              <a16:creationId xmlns:a16="http://schemas.microsoft.com/office/drawing/2014/main" id="{00000000-0008-0000-0100-0000B0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89" name="Text Box 3">
          <a:extLst>
            <a:ext uri="{FF2B5EF4-FFF2-40B4-BE49-F238E27FC236}">
              <a16:creationId xmlns:a16="http://schemas.microsoft.com/office/drawing/2014/main" id="{00000000-0008-0000-0100-0000B1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90" name="Text Box 63">
          <a:extLst>
            <a:ext uri="{FF2B5EF4-FFF2-40B4-BE49-F238E27FC236}">
              <a16:creationId xmlns:a16="http://schemas.microsoft.com/office/drawing/2014/main" id="{00000000-0008-0000-0100-0000B2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91" name="Text Box 3">
          <a:extLst>
            <a:ext uri="{FF2B5EF4-FFF2-40B4-BE49-F238E27FC236}">
              <a16:creationId xmlns:a16="http://schemas.microsoft.com/office/drawing/2014/main" id="{00000000-0008-0000-0100-0000B3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92" name="Text Box 32">
          <a:extLst>
            <a:ext uri="{FF2B5EF4-FFF2-40B4-BE49-F238E27FC236}">
              <a16:creationId xmlns:a16="http://schemas.microsoft.com/office/drawing/2014/main" id="{00000000-0008-0000-0100-0000B4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93" name="Text Box 3">
          <a:extLst>
            <a:ext uri="{FF2B5EF4-FFF2-40B4-BE49-F238E27FC236}">
              <a16:creationId xmlns:a16="http://schemas.microsoft.com/office/drawing/2014/main" id="{00000000-0008-0000-0100-0000B5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94" name="Text Box 63">
          <a:extLst>
            <a:ext uri="{FF2B5EF4-FFF2-40B4-BE49-F238E27FC236}">
              <a16:creationId xmlns:a16="http://schemas.microsoft.com/office/drawing/2014/main" id="{00000000-0008-0000-0100-0000B6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95" name="Text Box 3">
          <a:extLst>
            <a:ext uri="{FF2B5EF4-FFF2-40B4-BE49-F238E27FC236}">
              <a16:creationId xmlns:a16="http://schemas.microsoft.com/office/drawing/2014/main" id="{00000000-0008-0000-0100-0000B7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96" name="Text Box 32">
          <a:extLst>
            <a:ext uri="{FF2B5EF4-FFF2-40B4-BE49-F238E27FC236}">
              <a16:creationId xmlns:a16="http://schemas.microsoft.com/office/drawing/2014/main" id="{00000000-0008-0000-0100-0000B8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97" name="Text Box 3">
          <a:extLst>
            <a:ext uri="{FF2B5EF4-FFF2-40B4-BE49-F238E27FC236}">
              <a16:creationId xmlns:a16="http://schemas.microsoft.com/office/drawing/2014/main" id="{00000000-0008-0000-0100-0000B9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698" name="Text Box 63">
          <a:extLst>
            <a:ext uri="{FF2B5EF4-FFF2-40B4-BE49-F238E27FC236}">
              <a16:creationId xmlns:a16="http://schemas.microsoft.com/office/drawing/2014/main" id="{00000000-0008-0000-0100-0000BA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699" name="Text Box 3">
          <a:extLst>
            <a:ext uri="{FF2B5EF4-FFF2-40B4-BE49-F238E27FC236}">
              <a16:creationId xmlns:a16="http://schemas.microsoft.com/office/drawing/2014/main" id="{00000000-0008-0000-0100-0000BB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00" name="Text Box 32">
          <a:extLst>
            <a:ext uri="{FF2B5EF4-FFF2-40B4-BE49-F238E27FC236}">
              <a16:creationId xmlns:a16="http://schemas.microsoft.com/office/drawing/2014/main" id="{00000000-0008-0000-0100-0000BC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01" name="Text Box 3">
          <a:extLst>
            <a:ext uri="{FF2B5EF4-FFF2-40B4-BE49-F238E27FC236}">
              <a16:creationId xmlns:a16="http://schemas.microsoft.com/office/drawing/2014/main" id="{00000000-0008-0000-0100-0000BD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02" name="Text Box 63">
          <a:extLst>
            <a:ext uri="{FF2B5EF4-FFF2-40B4-BE49-F238E27FC236}">
              <a16:creationId xmlns:a16="http://schemas.microsoft.com/office/drawing/2014/main" id="{00000000-0008-0000-0100-0000BE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03" name="Text Box 3">
          <a:extLst>
            <a:ext uri="{FF2B5EF4-FFF2-40B4-BE49-F238E27FC236}">
              <a16:creationId xmlns:a16="http://schemas.microsoft.com/office/drawing/2014/main" id="{00000000-0008-0000-0100-0000BF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04" name="Text Box 32">
          <a:extLst>
            <a:ext uri="{FF2B5EF4-FFF2-40B4-BE49-F238E27FC236}">
              <a16:creationId xmlns:a16="http://schemas.microsoft.com/office/drawing/2014/main" id="{00000000-0008-0000-0100-0000C0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05" name="Text Box 3">
          <a:extLst>
            <a:ext uri="{FF2B5EF4-FFF2-40B4-BE49-F238E27FC236}">
              <a16:creationId xmlns:a16="http://schemas.microsoft.com/office/drawing/2014/main" id="{00000000-0008-0000-0100-0000C1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06" name="Text Box 63">
          <a:extLst>
            <a:ext uri="{FF2B5EF4-FFF2-40B4-BE49-F238E27FC236}">
              <a16:creationId xmlns:a16="http://schemas.microsoft.com/office/drawing/2014/main" id="{00000000-0008-0000-0100-0000C2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07" name="Text Box 3">
          <a:extLst>
            <a:ext uri="{FF2B5EF4-FFF2-40B4-BE49-F238E27FC236}">
              <a16:creationId xmlns:a16="http://schemas.microsoft.com/office/drawing/2014/main" id="{00000000-0008-0000-0100-0000C3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08" name="Text Box 32">
          <a:extLst>
            <a:ext uri="{FF2B5EF4-FFF2-40B4-BE49-F238E27FC236}">
              <a16:creationId xmlns:a16="http://schemas.microsoft.com/office/drawing/2014/main" id="{00000000-0008-0000-0100-0000C4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09" name="Text Box 3">
          <a:extLst>
            <a:ext uri="{FF2B5EF4-FFF2-40B4-BE49-F238E27FC236}">
              <a16:creationId xmlns:a16="http://schemas.microsoft.com/office/drawing/2014/main" id="{00000000-0008-0000-0100-0000C5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10" name="Text Box 63">
          <a:extLst>
            <a:ext uri="{FF2B5EF4-FFF2-40B4-BE49-F238E27FC236}">
              <a16:creationId xmlns:a16="http://schemas.microsoft.com/office/drawing/2014/main" id="{00000000-0008-0000-0100-0000C6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11" name="Text Box 3">
          <a:extLst>
            <a:ext uri="{FF2B5EF4-FFF2-40B4-BE49-F238E27FC236}">
              <a16:creationId xmlns:a16="http://schemas.microsoft.com/office/drawing/2014/main" id="{00000000-0008-0000-0100-0000C7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12" name="Text Box 32">
          <a:extLst>
            <a:ext uri="{FF2B5EF4-FFF2-40B4-BE49-F238E27FC236}">
              <a16:creationId xmlns:a16="http://schemas.microsoft.com/office/drawing/2014/main" id="{00000000-0008-0000-0100-0000C8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13" name="Text Box 3">
          <a:extLst>
            <a:ext uri="{FF2B5EF4-FFF2-40B4-BE49-F238E27FC236}">
              <a16:creationId xmlns:a16="http://schemas.microsoft.com/office/drawing/2014/main" id="{00000000-0008-0000-0100-0000C9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14" name="Text Box 63">
          <a:extLst>
            <a:ext uri="{FF2B5EF4-FFF2-40B4-BE49-F238E27FC236}">
              <a16:creationId xmlns:a16="http://schemas.microsoft.com/office/drawing/2014/main" id="{00000000-0008-0000-0100-0000CA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15" name="Text Box 3">
          <a:extLst>
            <a:ext uri="{FF2B5EF4-FFF2-40B4-BE49-F238E27FC236}">
              <a16:creationId xmlns:a16="http://schemas.microsoft.com/office/drawing/2014/main" id="{00000000-0008-0000-0100-0000CB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16" name="Text Box 32">
          <a:extLst>
            <a:ext uri="{FF2B5EF4-FFF2-40B4-BE49-F238E27FC236}">
              <a16:creationId xmlns:a16="http://schemas.microsoft.com/office/drawing/2014/main" id="{00000000-0008-0000-0100-0000CC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17" name="Text Box 3">
          <a:extLst>
            <a:ext uri="{FF2B5EF4-FFF2-40B4-BE49-F238E27FC236}">
              <a16:creationId xmlns:a16="http://schemas.microsoft.com/office/drawing/2014/main" id="{00000000-0008-0000-0100-0000CD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18" name="Text Box 63">
          <a:extLst>
            <a:ext uri="{FF2B5EF4-FFF2-40B4-BE49-F238E27FC236}">
              <a16:creationId xmlns:a16="http://schemas.microsoft.com/office/drawing/2014/main" id="{00000000-0008-0000-0100-0000CE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19" name="Text Box 3">
          <a:extLst>
            <a:ext uri="{FF2B5EF4-FFF2-40B4-BE49-F238E27FC236}">
              <a16:creationId xmlns:a16="http://schemas.microsoft.com/office/drawing/2014/main" id="{00000000-0008-0000-0100-0000CF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20" name="Text Box 32">
          <a:extLst>
            <a:ext uri="{FF2B5EF4-FFF2-40B4-BE49-F238E27FC236}">
              <a16:creationId xmlns:a16="http://schemas.microsoft.com/office/drawing/2014/main" id="{00000000-0008-0000-0100-0000D0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21" name="Text Box 3">
          <a:extLst>
            <a:ext uri="{FF2B5EF4-FFF2-40B4-BE49-F238E27FC236}">
              <a16:creationId xmlns:a16="http://schemas.microsoft.com/office/drawing/2014/main" id="{00000000-0008-0000-0100-0000D1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22" name="Text Box 63">
          <a:extLst>
            <a:ext uri="{FF2B5EF4-FFF2-40B4-BE49-F238E27FC236}">
              <a16:creationId xmlns:a16="http://schemas.microsoft.com/office/drawing/2014/main" id="{00000000-0008-0000-0100-0000D2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23" name="Text Box 3">
          <a:extLst>
            <a:ext uri="{FF2B5EF4-FFF2-40B4-BE49-F238E27FC236}">
              <a16:creationId xmlns:a16="http://schemas.microsoft.com/office/drawing/2014/main" id="{00000000-0008-0000-0100-0000D3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24" name="Text Box 32">
          <a:extLst>
            <a:ext uri="{FF2B5EF4-FFF2-40B4-BE49-F238E27FC236}">
              <a16:creationId xmlns:a16="http://schemas.microsoft.com/office/drawing/2014/main" id="{00000000-0008-0000-0100-0000D4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25" name="Text Box 3">
          <a:extLst>
            <a:ext uri="{FF2B5EF4-FFF2-40B4-BE49-F238E27FC236}">
              <a16:creationId xmlns:a16="http://schemas.microsoft.com/office/drawing/2014/main" id="{00000000-0008-0000-0100-0000D5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26" name="Text Box 63">
          <a:extLst>
            <a:ext uri="{FF2B5EF4-FFF2-40B4-BE49-F238E27FC236}">
              <a16:creationId xmlns:a16="http://schemas.microsoft.com/office/drawing/2014/main" id="{00000000-0008-0000-0100-0000D6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27" name="Text Box 3">
          <a:extLst>
            <a:ext uri="{FF2B5EF4-FFF2-40B4-BE49-F238E27FC236}">
              <a16:creationId xmlns:a16="http://schemas.microsoft.com/office/drawing/2014/main" id="{00000000-0008-0000-0100-0000D7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28" name="Text Box 32">
          <a:extLst>
            <a:ext uri="{FF2B5EF4-FFF2-40B4-BE49-F238E27FC236}">
              <a16:creationId xmlns:a16="http://schemas.microsoft.com/office/drawing/2014/main" id="{00000000-0008-0000-0100-0000D8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29" name="Text Box 3">
          <a:extLst>
            <a:ext uri="{FF2B5EF4-FFF2-40B4-BE49-F238E27FC236}">
              <a16:creationId xmlns:a16="http://schemas.microsoft.com/office/drawing/2014/main" id="{00000000-0008-0000-0100-0000D9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30" name="Text Box 63">
          <a:extLst>
            <a:ext uri="{FF2B5EF4-FFF2-40B4-BE49-F238E27FC236}">
              <a16:creationId xmlns:a16="http://schemas.microsoft.com/office/drawing/2014/main" id="{00000000-0008-0000-0100-0000DA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31" name="Text Box 3">
          <a:extLst>
            <a:ext uri="{FF2B5EF4-FFF2-40B4-BE49-F238E27FC236}">
              <a16:creationId xmlns:a16="http://schemas.microsoft.com/office/drawing/2014/main" id="{00000000-0008-0000-0100-0000DB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32" name="Text Box 32">
          <a:extLst>
            <a:ext uri="{FF2B5EF4-FFF2-40B4-BE49-F238E27FC236}">
              <a16:creationId xmlns:a16="http://schemas.microsoft.com/office/drawing/2014/main" id="{00000000-0008-0000-0100-0000DC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33" name="Text Box 3">
          <a:extLst>
            <a:ext uri="{FF2B5EF4-FFF2-40B4-BE49-F238E27FC236}">
              <a16:creationId xmlns:a16="http://schemas.microsoft.com/office/drawing/2014/main" id="{00000000-0008-0000-0100-0000DD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34" name="Text Box 63">
          <a:extLst>
            <a:ext uri="{FF2B5EF4-FFF2-40B4-BE49-F238E27FC236}">
              <a16:creationId xmlns:a16="http://schemas.microsoft.com/office/drawing/2014/main" id="{00000000-0008-0000-0100-0000DE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35" name="Text Box 3">
          <a:extLst>
            <a:ext uri="{FF2B5EF4-FFF2-40B4-BE49-F238E27FC236}">
              <a16:creationId xmlns:a16="http://schemas.microsoft.com/office/drawing/2014/main" id="{00000000-0008-0000-0100-0000DF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36" name="Text Box 32">
          <a:extLst>
            <a:ext uri="{FF2B5EF4-FFF2-40B4-BE49-F238E27FC236}">
              <a16:creationId xmlns:a16="http://schemas.microsoft.com/office/drawing/2014/main" id="{00000000-0008-0000-0100-0000E0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37" name="Text Box 3">
          <a:extLst>
            <a:ext uri="{FF2B5EF4-FFF2-40B4-BE49-F238E27FC236}">
              <a16:creationId xmlns:a16="http://schemas.microsoft.com/office/drawing/2014/main" id="{00000000-0008-0000-0100-0000E1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38" name="Text Box 63">
          <a:extLst>
            <a:ext uri="{FF2B5EF4-FFF2-40B4-BE49-F238E27FC236}">
              <a16:creationId xmlns:a16="http://schemas.microsoft.com/office/drawing/2014/main" id="{00000000-0008-0000-0100-0000E2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39" name="Text Box 3">
          <a:extLst>
            <a:ext uri="{FF2B5EF4-FFF2-40B4-BE49-F238E27FC236}">
              <a16:creationId xmlns:a16="http://schemas.microsoft.com/office/drawing/2014/main" id="{00000000-0008-0000-0100-0000E3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40" name="Text Box 32">
          <a:extLst>
            <a:ext uri="{FF2B5EF4-FFF2-40B4-BE49-F238E27FC236}">
              <a16:creationId xmlns:a16="http://schemas.microsoft.com/office/drawing/2014/main" id="{00000000-0008-0000-0100-0000E4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41" name="Text Box 3">
          <a:extLst>
            <a:ext uri="{FF2B5EF4-FFF2-40B4-BE49-F238E27FC236}">
              <a16:creationId xmlns:a16="http://schemas.microsoft.com/office/drawing/2014/main" id="{00000000-0008-0000-0100-0000E5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42" name="Text Box 63">
          <a:extLst>
            <a:ext uri="{FF2B5EF4-FFF2-40B4-BE49-F238E27FC236}">
              <a16:creationId xmlns:a16="http://schemas.microsoft.com/office/drawing/2014/main" id="{00000000-0008-0000-0100-0000E6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43" name="Text Box 3">
          <a:extLst>
            <a:ext uri="{FF2B5EF4-FFF2-40B4-BE49-F238E27FC236}">
              <a16:creationId xmlns:a16="http://schemas.microsoft.com/office/drawing/2014/main" id="{00000000-0008-0000-0100-0000E7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44" name="Text Box 32">
          <a:extLst>
            <a:ext uri="{FF2B5EF4-FFF2-40B4-BE49-F238E27FC236}">
              <a16:creationId xmlns:a16="http://schemas.microsoft.com/office/drawing/2014/main" id="{00000000-0008-0000-0100-0000E8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45" name="Text Box 3">
          <a:extLst>
            <a:ext uri="{FF2B5EF4-FFF2-40B4-BE49-F238E27FC236}">
              <a16:creationId xmlns:a16="http://schemas.microsoft.com/office/drawing/2014/main" id="{00000000-0008-0000-0100-0000E9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46" name="Text Box 63">
          <a:extLst>
            <a:ext uri="{FF2B5EF4-FFF2-40B4-BE49-F238E27FC236}">
              <a16:creationId xmlns:a16="http://schemas.microsoft.com/office/drawing/2014/main" id="{00000000-0008-0000-0100-0000EA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47" name="Text Box 3">
          <a:extLst>
            <a:ext uri="{FF2B5EF4-FFF2-40B4-BE49-F238E27FC236}">
              <a16:creationId xmlns:a16="http://schemas.microsoft.com/office/drawing/2014/main" id="{00000000-0008-0000-0100-0000EB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48" name="Text Box 32">
          <a:extLst>
            <a:ext uri="{FF2B5EF4-FFF2-40B4-BE49-F238E27FC236}">
              <a16:creationId xmlns:a16="http://schemas.microsoft.com/office/drawing/2014/main" id="{00000000-0008-0000-0100-0000EC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49" name="Text Box 3">
          <a:extLst>
            <a:ext uri="{FF2B5EF4-FFF2-40B4-BE49-F238E27FC236}">
              <a16:creationId xmlns:a16="http://schemas.microsoft.com/office/drawing/2014/main" id="{00000000-0008-0000-0100-0000ED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50" name="Text Box 63">
          <a:extLst>
            <a:ext uri="{FF2B5EF4-FFF2-40B4-BE49-F238E27FC236}">
              <a16:creationId xmlns:a16="http://schemas.microsoft.com/office/drawing/2014/main" id="{00000000-0008-0000-0100-0000EE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51" name="Text Box 3">
          <a:extLst>
            <a:ext uri="{FF2B5EF4-FFF2-40B4-BE49-F238E27FC236}">
              <a16:creationId xmlns:a16="http://schemas.microsoft.com/office/drawing/2014/main" id="{00000000-0008-0000-0100-0000EF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52" name="Text Box 32">
          <a:extLst>
            <a:ext uri="{FF2B5EF4-FFF2-40B4-BE49-F238E27FC236}">
              <a16:creationId xmlns:a16="http://schemas.microsoft.com/office/drawing/2014/main" id="{00000000-0008-0000-0100-0000F0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53" name="Text Box 3">
          <a:extLst>
            <a:ext uri="{FF2B5EF4-FFF2-40B4-BE49-F238E27FC236}">
              <a16:creationId xmlns:a16="http://schemas.microsoft.com/office/drawing/2014/main" id="{00000000-0008-0000-0100-0000F1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44556"/>
    <xdr:sp macro="" textlink="">
      <xdr:nvSpPr>
        <xdr:cNvPr id="754" name="Text Box 9">
          <a:extLst>
            <a:ext uri="{FF2B5EF4-FFF2-40B4-BE49-F238E27FC236}">
              <a16:creationId xmlns:a16="http://schemas.microsoft.com/office/drawing/2014/main" id="{00000000-0008-0000-0100-0000F2020000}"/>
            </a:ext>
          </a:extLst>
        </xdr:cNvPr>
        <xdr:cNvSpPr txBox="1">
          <a:spLocks noChangeArrowheads="1"/>
        </xdr:cNvSpPr>
      </xdr:nvSpPr>
      <xdr:spPr bwMode="auto">
        <a:xfrm>
          <a:off x="1914525" y="74399775"/>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27411"/>
    <xdr:sp macro="" textlink="">
      <xdr:nvSpPr>
        <xdr:cNvPr id="755" name="Text Box 8">
          <a:extLst>
            <a:ext uri="{FF2B5EF4-FFF2-40B4-BE49-F238E27FC236}">
              <a16:creationId xmlns:a16="http://schemas.microsoft.com/office/drawing/2014/main" id="{00000000-0008-0000-0100-0000F3020000}"/>
            </a:ext>
          </a:extLst>
        </xdr:cNvPr>
        <xdr:cNvSpPr txBox="1">
          <a:spLocks noChangeArrowheads="1"/>
        </xdr:cNvSpPr>
      </xdr:nvSpPr>
      <xdr:spPr bwMode="auto">
        <a:xfrm>
          <a:off x="1914525" y="743997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27411"/>
    <xdr:sp macro="" textlink="">
      <xdr:nvSpPr>
        <xdr:cNvPr id="756" name="Text Box 9">
          <a:extLst>
            <a:ext uri="{FF2B5EF4-FFF2-40B4-BE49-F238E27FC236}">
              <a16:creationId xmlns:a16="http://schemas.microsoft.com/office/drawing/2014/main" id="{00000000-0008-0000-0100-0000F4020000}"/>
            </a:ext>
          </a:extLst>
        </xdr:cNvPr>
        <xdr:cNvSpPr txBox="1">
          <a:spLocks noChangeArrowheads="1"/>
        </xdr:cNvSpPr>
      </xdr:nvSpPr>
      <xdr:spPr bwMode="auto">
        <a:xfrm>
          <a:off x="1914525" y="743997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44556"/>
    <xdr:sp macro="" textlink="">
      <xdr:nvSpPr>
        <xdr:cNvPr id="757" name="Text Box 8">
          <a:extLst>
            <a:ext uri="{FF2B5EF4-FFF2-40B4-BE49-F238E27FC236}">
              <a16:creationId xmlns:a16="http://schemas.microsoft.com/office/drawing/2014/main" id="{00000000-0008-0000-0100-0000F5020000}"/>
            </a:ext>
          </a:extLst>
        </xdr:cNvPr>
        <xdr:cNvSpPr txBox="1">
          <a:spLocks noChangeArrowheads="1"/>
        </xdr:cNvSpPr>
      </xdr:nvSpPr>
      <xdr:spPr bwMode="auto">
        <a:xfrm>
          <a:off x="1914525" y="74399775"/>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44556"/>
    <xdr:sp macro="" textlink="">
      <xdr:nvSpPr>
        <xdr:cNvPr id="758" name="Text Box 9">
          <a:extLst>
            <a:ext uri="{FF2B5EF4-FFF2-40B4-BE49-F238E27FC236}">
              <a16:creationId xmlns:a16="http://schemas.microsoft.com/office/drawing/2014/main" id="{00000000-0008-0000-0100-0000F6020000}"/>
            </a:ext>
          </a:extLst>
        </xdr:cNvPr>
        <xdr:cNvSpPr txBox="1">
          <a:spLocks noChangeArrowheads="1"/>
        </xdr:cNvSpPr>
      </xdr:nvSpPr>
      <xdr:spPr bwMode="auto">
        <a:xfrm>
          <a:off x="1914525" y="74399775"/>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27411"/>
    <xdr:sp macro="" textlink="">
      <xdr:nvSpPr>
        <xdr:cNvPr id="759" name="Text Box 8">
          <a:extLst>
            <a:ext uri="{FF2B5EF4-FFF2-40B4-BE49-F238E27FC236}">
              <a16:creationId xmlns:a16="http://schemas.microsoft.com/office/drawing/2014/main" id="{00000000-0008-0000-0100-0000F7020000}"/>
            </a:ext>
          </a:extLst>
        </xdr:cNvPr>
        <xdr:cNvSpPr txBox="1">
          <a:spLocks noChangeArrowheads="1"/>
        </xdr:cNvSpPr>
      </xdr:nvSpPr>
      <xdr:spPr bwMode="auto">
        <a:xfrm>
          <a:off x="1914525" y="743997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27411"/>
    <xdr:sp macro="" textlink="">
      <xdr:nvSpPr>
        <xdr:cNvPr id="760" name="Text Box 9">
          <a:extLst>
            <a:ext uri="{FF2B5EF4-FFF2-40B4-BE49-F238E27FC236}">
              <a16:creationId xmlns:a16="http://schemas.microsoft.com/office/drawing/2014/main" id="{00000000-0008-0000-0100-0000F8020000}"/>
            </a:ext>
          </a:extLst>
        </xdr:cNvPr>
        <xdr:cNvSpPr txBox="1">
          <a:spLocks noChangeArrowheads="1"/>
        </xdr:cNvSpPr>
      </xdr:nvSpPr>
      <xdr:spPr bwMode="auto">
        <a:xfrm>
          <a:off x="1914525" y="743997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61" name="Text Box 3">
          <a:extLst>
            <a:ext uri="{FF2B5EF4-FFF2-40B4-BE49-F238E27FC236}">
              <a16:creationId xmlns:a16="http://schemas.microsoft.com/office/drawing/2014/main" id="{00000000-0008-0000-0100-0000F9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62" name="Text Box 32">
          <a:extLst>
            <a:ext uri="{FF2B5EF4-FFF2-40B4-BE49-F238E27FC236}">
              <a16:creationId xmlns:a16="http://schemas.microsoft.com/office/drawing/2014/main" id="{00000000-0008-0000-0100-0000FA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63" name="Text Box 3">
          <a:extLst>
            <a:ext uri="{FF2B5EF4-FFF2-40B4-BE49-F238E27FC236}">
              <a16:creationId xmlns:a16="http://schemas.microsoft.com/office/drawing/2014/main" id="{00000000-0008-0000-0100-0000FB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64" name="Text Box 63">
          <a:extLst>
            <a:ext uri="{FF2B5EF4-FFF2-40B4-BE49-F238E27FC236}">
              <a16:creationId xmlns:a16="http://schemas.microsoft.com/office/drawing/2014/main" id="{00000000-0008-0000-0100-0000FC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65" name="Text Box 3">
          <a:extLst>
            <a:ext uri="{FF2B5EF4-FFF2-40B4-BE49-F238E27FC236}">
              <a16:creationId xmlns:a16="http://schemas.microsoft.com/office/drawing/2014/main" id="{00000000-0008-0000-0100-0000FD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66" name="Text Box 32">
          <a:extLst>
            <a:ext uri="{FF2B5EF4-FFF2-40B4-BE49-F238E27FC236}">
              <a16:creationId xmlns:a16="http://schemas.microsoft.com/office/drawing/2014/main" id="{00000000-0008-0000-0100-0000FE02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67" name="Text Box 3">
          <a:extLst>
            <a:ext uri="{FF2B5EF4-FFF2-40B4-BE49-F238E27FC236}">
              <a16:creationId xmlns:a16="http://schemas.microsoft.com/office/drawing/2014/main" id="{00000000-0008-0000-0100-0000FF02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68" name="Text Box 63">
          <a:extLst>
            <a:ext uri="{FF2B5EF4-FFF2-40B4-BE49-F238E27FC236}">
              <a16:creationId xmlns:a16="http://schemas.microsoft.com/office/drawing/2014/main" id="{00000000-0008-0000-0100-000000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69" name="Text Box 3">
          <a:extLst>
            <a:ext uri="{FF2B5EF4-FFF2-40B4-BE49-F238E27FC236}">
              <a16:creationId xmlns:a16="http://schemas.microsoft.com/office/drawing/2014/main" id="{00000000-0008-0000-0100-000001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70" name="Text Box 32">
          <a:extLst>
            <a:ext uri="{FF2B5EF4-FFF2-40B4-BE49-F238E27FC236}">
              <a16:creationId xmlns:a16="http://schemas.microsoft.com/office/drawing/2014/main" id="{00000000-0008-0000-0100-000002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71" name="Text Box 3">
          <a:extLst>
            <a:ext uri="{FF2B5EF4-FFF2-40B4-BE49-F238E27FC236}">
              <a16:creationId xmlns:a16="http://schemas.microsoft.com/office/drawing/2014/main" id="{00000000-0008-0000-0100-000003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72" name="Text Box 63">
          <a:extLst>
            <a:ext uri="{FF2B5EF4-FFF2-40B4-BE49-F238E27FC236}">
              <a16:creationId xmlns:a16="http://schemas.microsoft.com/office/drawing/2014/main" id="{00000000-0008-0000-0100-000004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73" name="Text Box 3">
          <a:extLst>
            <a:ext uri="{FF2B5EF4-FFF2-40B4-BE49-F238E27FC236}">
              <a16:creationId xmlns:a16="http://schemas.microsoft.com/office/drawing/2014/main" id="{00000000-0008-0000-0100-000005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74" name="Text Box 32">
          <a:extLst>
            <a:ext uri="{FF2B5EF4-FFF2-40B4-BE49-F238E27FC236}">
              <a16:creationId xmlns:a16="http://schemas.microsoft.com/office/drawing/2014/main" id="{00000000-0008-0000-0100-000006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75" name="Text Box 3">
          <a:extLst>
            <a:ext uri="{FF2B5EF4-FFF2-40B4-BE49-F238E27FC236}">
              <a16:creationId xmlns:a16="http://schemas.microsoft.com/office/drawing/2014/main" id="{00000000-0008-0000-0100-000007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76" name="Text Box 63">
          <a:extLst>
            <a:ext uri="{FF2B5EF4-FFF2-40B4-BE49-F238E27FC236}">
              <a16:creationId xmlns:a16="http://schemas.microsoft.com/office/drawing/2014/main" id="{00000000-0008-0000-0100-000008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77" name="Text Box 3">
          <a:extLst>
            <a:ext uri="{FF2B5EF4-FFF2-40B4-BE49-F238E27FC236}">
              <a16:creationId xmlns:a16="http://schemas.microsoft.com/office/drawing/2014/main" id="{00000000-0008-0000-0100-000009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78" name="Text Box 32">
          <a:extLst>
            <a:ext uri="{FF2B5EF4-FFF2-40B4-BE49-F238E27FC236}">
              <a16:creationId xmlns:a16="http://schemas.microsoft.com/office/drawing/2014/main" id="{00000000-0008-0000-0100-00000A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79" name="Text Box 3">
          <a:extLst>
            <a:ext uri="{FF2B5EF4-FFF2-40B4-BE49-F238E27FC236}">
              <a16:creationId xmlns:a16="http://schemas.microsoft.com/office/drawing/2014/main" id="{00000000-0008-0000-0100-00000B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80" name="Text Box 63">
          <a:extLst>
            <a:ext uri="{FF2B5EF4-FFF2-40B4-BE49-F238E27FC236}">
              <a16:creationId xmlns:a16="http://schemas.microsoft.com/office/drawing/2014/main" id="{00000000-0008-0000-0100-00000C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81" name="Text Box 3">
          <a:extLst>
            <a:ext uri="{FF2B5EF4-FFF2-40B4-BE49-F238E27FC236}">
              <a16:creationId xmlns:a16="http://schemas.microsoft.com/office/drawing/2014/main" id="{00000000-0008-0000-0100-00000D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82" name="Text Box 32">
          <a:extLst>
            <a:ext uri="{FF2B5EF4-FFF2-40B4-BE49-F238E27FC236}">
              <a16:creationId xmlns:a16="http://schemas.microsoft.com/office/drawing/2014/main" id="{00000000-0008-0000-0100-00000E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83" name="Text Box 3">
          <a:extLst>
            <a:ext uri="{FF2B5EF4-FFF2-40B4-BE49-F238E27FC236}">
              <a16:creationId xmlns:a16="http://schemas.microsoft.com/office/drawing/2014/main" id="{00000000-0008-0000-0100-00000F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84" name="Text Box 63">
          <a:extLst>
            <a:ext uri="{FF2B5EF4-FFF2-40B4-BE49-F238E27FC236}">
              <a16:creationId xmlns:a16="http://schemas.microsoft.com/office/drawing/2014/main" id="{00000000-0008-0000-0100-000010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85" name="Text Box 3">
          <a:extLst>
            <a:ext uri="{FF2B5EF4-FFF2-40B4-BE49-F238E27FC236}">
              <a16:creationId xmlns:a16="http://schemas.microsoft.com/office/drawing/2014/main" id="{00000000-0008-0000-0100-000011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86" name="Text Box 32">
          <a:extLst>
            <a:ext uri="{FF2B5EF4-FFF2-40B4-BE49-F238E27FC236}">
              <a16:creationId xmlns:a16="http://schemas.microsoft.com/office/drawing/2014/main" id="{00000000-0008-0000-0100-000012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87" name="Text Box 3">
          <a:extLst>
            <a:ext uri="{FF2B5EF4-FFF2-40B4-BE49-F238E27FC236}">
              <a16:creationId xmlns:a16="http://schemas.microsoft.com/office/drawing/2014/main" id="{00000000-0008-0000-0100-000013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88" name="Text Box 63">
          <a:extLst>
            <a:ext uri="{FF2B5EF4-FFF2-40B4-BE49-F238E27FC236}">
              <a16:creationId xmlns:a16="http://schemas.microsoft.com/office/drawing/2014/main" id="{00000000-0008-0000-0100-000014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89" name="Text Box 3">
          <a:extLst>
            <a:ext uri="{FF2B5EF4-FFF2-40B4-BE49-F238E27FC236}">
              <a16:creationId xmlns:a16="http://schemas.microsoft.com/office/drawing/2014/main" id="{00000000-0008-0000-0100-000015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90" name="Text Box 32">
          <a:extLst>
            <a:ext uri="{FF2B5EF4-FFF2-40B4-BE49-F238E27FC236}">
              <a16:creationId xmlns:a16="http://schemas.microsoft.com/office/drawing/2014/main" id="{00000000-0008-0000-0100-000016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91" name="Text Box 3">
          <a:extLst>
            <a:ext uri="{FF2B5EF4-FFF2-40B4-BE49-F238E27FC236}">
              <a16:creationId xmlns:a16="http://schemas.microsoft.com/office/drawing/2014/main" id="{00000000-0008-0000-0100-000017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92" name="Text Box 63">
          <a:extLst>
            <a:ext uri="{FF2B5EF4-FFF2-40B4-BE49-F238E27FC236}">
              <a16:creationId xmlns:a16="http://schemas.microsoft.com/office/drawing/2014/main" id="{00000000-0008-0000-0100-000018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93" name="Text Box 3">
          <a:extLst>
            <a:ext uri="{FF2B5EF4-FFF2-40B4-BE49-F238E27FC236}">
              <a16:creationId xmlns:a16="http://schemas.microsoft.com/office/drawing/2014/main" id="{00000000-0008-0000-0100-000019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94" name="Text Box 32">
          <a:extLst>
            <a:ext uri="{FF2B5EF4-FFF2-40B4-BE49-F238E27FC236}">
              <a16:creationId xmlns:a16="http://schemas.microsoft.com/office/drawing/2014/main" id="{00000000-0008-0000-0100-00001A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95" name="Text Box 3">
          <a:extLst>
            <a:ext uri="{FF2B5EF4-FFF2-40B4-BE49-F238E27FC236}">
              <a16:creationId xmlns:a16="http://schemas.microsoft.com/office/drawing/2014/main" id="{00000000-0008-0000-0100-00001B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96" name="Text Box 63">
          <a:extLst>
            <a:ext uri="{FF2B5EF4-FFF2-40B4-BE49-F238E27FC236}">
              <a16:creationId xmlns:a16="http://schemas.microsoft.com/office/drawing/2014/main" id="{00000000-0008-0000-0100-00001C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97" name="Text Box 3">
          <a:extLst>
            <a:ext uri="{FF2B5EF4-FFF2-40B4-BE49-F238E27FC236}">
              <a16:creationId xmlns:a16="http://schemas.microsoft.com/office/drawing/2014/main" id="{00000000-0008-0000-0100-00001D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798" name="Text Box 32">
          <a:extLst>
            <a:ext uri="{FF2B5EF4-FFF2-40B4-BE49-F238E27FC236}">
              <a16:creationId xmlns:a16="http://schemas.microsoft.com/office/drawing/2014/main" id="{00000000-0008-0000-0100-00001E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799" name="Text Box 3">
          <a:extLst>
            <a:ext uri="{FF2B5EF4-FFF2-40B4-BE49-F238E27FC236}">
              <a16:creationId xmlns:a16="http://schemas.microsoft.com/office/drawing/2014/main" id="{00000000-0008-0000-0100-00001F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00" name="Text Box 63">
          <a:extLst>
            <a:ext uri="{FF2B5EF4-FFF2-40B4-BE49-F238E27FC236}">
              <a16:creationId xmlns:a16="http://schemas.microsoft.com/office/drawing/2014/main" id="{00000000-0008-0000-0100-000020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01" name="Text Box 3">
          <a:extLst>
            <a:ext uri="{FF2B5EF4-FFF2-40B4-BE49-F238E27FC236}">
              <a16:creationId xmlns:a16="http://schemas.microsoft.com/office/drawing/2014/main" id="{00000000-0008-0000-0100-000021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02" name="Text Box 32">
          <a:extLst>
            <a:ext uri="{FF2B5EF4-FFF2-40B4-BE49-F238E27FC236}">
              <a16:creationId xmlns:a16="http://schemas.microsoft.com/office/drawing/2014/main" id="{00000000-0008-0000-0100-000022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03" name="Text Box 3">
          <a:extLst>
            <a:ext uri="{FF2B5EF4-FFF2-40B4-BE49-F238E27FC236}">
              <a16:creationId xmlns:a16="http://schemas.microsoft.com/office/drawing/2014/main" id="{00000000-0008-0000-0100-000023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04" name="Text Box 63">
          <a:extLst>
            <a:ext uri="{FF2B5EF4-FFF2-40B4-BE49-F238E27FC236}">
              <a16:creationId xmlns:a16="http://schemas.microsoft.com/office/drawing/2014/main" id="{00000000-0008-0000-0100-000024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05" name="Text Box 3">
          <a:extLst>
            <a:ext uri="{FF2B5EF4-FFF2-40B4-BE49-F238E27FC236}">
              <a16:creationId xmlns:a16="http://schemas.microsoft.com/office/drawing/2014/main" id="{00000000-0008-0000-0100-000025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06" name="Text Box 32">
          <a:extLst>
            <a:ext uri="{FF2B5EF4-FFF2-40B4-BE49-F238E27FC236}">
              <a16:creationId xmlns:a16="http://schemas.microsoft.com/office/drawing/2014/main" id="{00000000-0008-0000-0100-000026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07" name="Text Box 3">
          <a:extLst>
            <a:ext uri="{FF2B5EF4-FFF2-40B4-BE49-F238E27FC236}">
              <a16:creationId xmlns:a16="http://schemas.microsoft.com/office/drawing/2014/main" id="{00000000-0008-0000-0100-000027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08" name="Text Box 63">
          <a:extLst>
            <a:ext uri="{FF2B5EF4-FFF2-40B4-BE49-F238E27FC236}">
              <a16:creationId xmlns:a16="http://schemas.microsoft.com/office/drawing/2014/main" id="{00000000-0008-0000-0100-000028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09" name="Text Box 3">
          <a:extLst>
            <a:ext uri="{FF2B5EF4-FFF2-40B4-BE49-F238E27FC236}">
              <a16:creationId xmlns:a16="http://schemas.microsoft.com/office/drawing/2014/main" id="{00000000-0008-0000-0100-000029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10" name="Text Box 32">
          <a:extLst>
            <a:ext uri="{FF2B5EF4-FFF2-40B4-BE49-F238E27FC236}">
              <a16:creationId xmlns:a16="http://schemas.microsoft.com/office/drawing/2014/main" id="{00000000-0008-0000-0100-00002A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11" name="Text Box 3">
          <a:extLst>
            <a:ext uri="{FF2B5EF4-FFF2-40B4-BE49-F238E27FC236}">
              <a16:creationId xmlns:a16="http://schemas.microsoft.com/office/drawing/2014/main" id="{00000000-0008-0000-0100-00002B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12" name="Text Box 63">
          <a:extLst>
            <a:ext uri="{FF2B5EF4-FFF2-40B4-BE49-F238E27FC236}">
              <a16:creationId xmlns:a16="http://schemas.microsoft.com/office/drawing/2014/main" id="{00000000-0008-0000-0100-00002C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13" name="Text Box 3">
          <a:extLst>
            <a:ext uri="{FF2B5EF4-FFF2-40B4-BE49-F238E27FC236}">
              <a16:creationId xmlns:a16="http://schemas.microsoft.com/office/drawing/2014/main" id="{00000000-0008-0000-0100-00002D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14" name="Text Box 32">
          <a:extLst>
            <a:ext uri="{FF2B5EF4-FFF2-40B4-BE49-F238E27FC236}">
              <a16:creationId xmlns:a16="http://schemas.microsoft.com/office/drawing/2014/main" id="{00000000-0008-0000-0100-00002E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15" name="Text Box 3">
          <a:extLst>
            <a:ext uri="{FF2B5EF4-FFF2-40B4-BE49-F238E27FC236}">
              <a16:creationId xmlns:a16="http://schemas.microsoft.com/office/drawing/2014/main" id="{00000000-0008-0000-0100-00002F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16" name="Text Box 63">
          <a:extLst>
            <a:ext uri="{FF2B5EF4-FFF2-40B4-BE49-F238E27FC236}">
              <a16:creationId xmlns:a16="http://schemas.microsoft.com/office/drawing/2014/main" id="{00000000-0008-0000-0100-000030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17" name="Text Box 3">
          <a:extLst>
            <a:ext uri="{FF2B5EF4-FFF2-40B4-BE49-F238E27FC236}">
              <a16:creationId xmlns:a16="http://schemas.microsoft.com/office/drawing/2014/main" id="{00000000-0008-0000-0100-000031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18" name="Text Box 32">
          <a:extLst>
            <a:ext uri="{FF2B5EF4-FFF2-40B4-BE49-F238E27FC236}">
              <a16:creationId xmlns:a16="http://schemas.microsoft.com/office/drawing/2014/main" id="{00000000-0008-0000-0100-000032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19" name="Text Box 3">
          <a:extLst>
            <a:ext uri="{FF2B5EF4-FFF2-40B4-BE49-F238E27FC236}">
              <a16:creationId xmlns:a16="http://schemas.microsoft.com/office/drawing/2014/main" id="{00000000-0008-0000-0100-000033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20" name="Text Box 63">
          <a:extLst>
            <a:ext uri="{FF2B5EF4-FFF2-40B4-BE49-F238E27FC236}">
              <a16:creationId xmlns:a16="http://schemas.microsoft.com/office/drawing/2014/main" id="{00000000-0008-0000-0100-000034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21" name="Text Box 3">
          <a:extLst>
            <a:ext uri="{FF2B5EF4-FFF2-40B4-BE49-F238E27FC236}">
              <a16:creationId xmlns:a16="http://schemas.microsoft.com/office/drawing/2014/main" id="{00000000-0008-0000-0100-000035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22" name="Text Box 32">
          <a:extLst>
            <a:ext uri="{FF2B5EF4-FFF2-40B4-BE49-F238E27FC236}">
              <a16:creationId xmlns:a16="http://schemas.microsoft.com/office/drawing/2014/main" id="{00000000-0008-0000-0100-000036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23" name="Text Box 3">
          <a:extLst>
            <a:ext uri="{FF2B5EF4-FFF2-40B4-BE49-F238E27FC236}">
              <a16:creationId xmlns:a16="http://schemas.microsoft.com/office/drawing/2014/main" id="{00000000-0008-0000-0100-000037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24" name="Text Box 63">
          <a:extLst>
            <a:ext uri="{FF2B5EF4-FFF2-40B4-BE49-F238E27FC236}">
              <a16:creationId xmlns:a16="http://schemas.microsoft.com/office/drawing/2014/main" id="{00000000-0008-0000-0100-000038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25" name="Text Box 3">
          <a:extLst>
            <a:ext uri="{FF2B5EF4-FFF2-40B4-BE49-F238E27FC236}">
              <a16:creationId xmlns:a16="http://schemas.microsoft.com/office/drawing/2014/main" id="{00000000-0008-0000-0100-000039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26" name="Text Box 32">
          <a:extLst>
            <a:ext uri="{FF2B5EF4-FFF2-40B4-BE49-F238E27FC236}">
              <a16:creationId xmlns:a16="http://schemas.microsoft.com/office/drawing/2014/main" id="{00000000-0008-0000-0100-00003A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27" name="Text Box 3">
          <a:extLst>
            <a:ext uri="{FF2B5EF4-FFF2-40B4-BE49-F238E27FC236}">
              <a16:creationId xmlns:a16="http://schemas.microsoft.com/office/drawing/2014/main" id="{00000000-0008-0000-0100-00003B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28" name="Text Box 63">
          <a:extLst>
            <a:ext uri="{FF2B5EF4-FFF2-40B4-BE49-F238E27FC236}">
              <a16:creationId xmlns:a16="http://schemas.microsoft.com/office/drawing/2014/main" id="{00000000-0008-0000-0100-00003C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29" name="Text Box 3">
          <a:extLst>
            <a:ext uri="{FF2B5EF4-FFF2-40B4-BE49-F238E27FC236}">
              <a16:creationId xmlns:a16="http://schemas.microsoft.com/office/drawing/2014/main" id="{00000000-0008-0000-0100-00003D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30" name="Text Box 32">
          <a:extLst>
            <a:ext uri="{FF2B5EF4-FFF2-40B4-BE49-F238E27FC236}">
              <a16:creationId xmlns:a16="http://schemas.microsoft.com/office/drawing/2014/main" id="{00000000-0008-0000-0100-00003E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31" name="Text Box 3">
          <a:extLst>
            <a:ext uri="{FF2B5EF4-FFF2-40B4-BE49-F238E27FC236}">
              <a16:creationId xmlns:a16="http://schemas.microsoft.com/office/drawing/2014/main" id="{00000000-0008-0000-0100-00003F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32" name="Text Box 63">
          <a:extLst>
            <a:ext uri="{FF2B5EF4-FFF2-40B4-BE49-F238E27FC236}">
              <a16:creationId xmlns:a16="http://schemas.microsoft.com/office/drawing/2014/main" id="{00000000-0008-0000-0100-000040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33" name="Text Box 3">
          <a:extLst>
            <a:ext uri="{FF2B5EF4-FFF2-40B4-BE49-F238E27FC236}">
              <a16:creationId xmlns:a16="http://schemas.microsoft.com/office/drawing/2014/main" id="{00000000-0008-0000-0100-000041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34" name="Text Box 32">
          <a:extLst>
            <a:ext uri="{FF2B5EF4-FFF2-40B4-BE49-F238E27FC236}">
              <a16:creationId xmlns:a16="http://schemas.microsoft.com/office/drawing/2014/main" id="{00000000-0008-0000-0100-000042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35" name="Text Box 3">
          <a:extLst>
            <a:ext uri="{FF2B5EF4-FFF2-40B4-BE49-F238E27FC236}">
              <a16:creationId xmlns:a16="http://schemas.microsoft.com/office/drawing/2014/main" id="{00000000-0008-0000-0100-000043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36" name="Text Box 63">
          <a:extLst>
            <a:ext uri="{FF2B5EF4-FFF2-40B4-BE49-F238E27FC236}">
              <a16:creationId xmlns:a16="http://schemas.microsoft.com/office/drawing/2014/main" id="{00000000-0008-0000-0100-000044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37" name="Text Box 3">
          <a:extLst>
            <a:ext uri="{FF2B5EF4-FFF2-40B4-BE49-F238E27FC236}">
              <a16:creationId xmlns:a16="http://schemas.microsoft.com/office/drawing/2014/main" id="{00000000-0008-0000-0100-000045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38" name="Text Box 32">
          <a:extLst>
            <a:ext uri="{FF2B5EF4-FFF2-40B4-BE49-F238E27FC236}">
              <a16:creationId xmlns:a16="http://schemas.microsoft.com/office/drawing/2014/main" id="{00000000-0008-0000-0100-000046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39" name="Text Box 3">
          <a:extLst>
            <a:ext uri="{FF2B5EF4-FFF2-40B4-BE49-F238E27FC236}">
              <a16:creationId xmlns:a16="http://schemas.microsoft.com/office/drawing/2014/main" id="{00000000-0008-0000-0100-000047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40" name="Text Box 63">
          <a:extLst>
            <a:ext uri="{FF2B5EF4-FFF2-40B4-BE49-F238E27FC236}">
              <a16:creationId xmlns:a16="http://schemas.microsoft.com/office/drawing/2014/main" id="{00000000-0008-0000-0100-000048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41" name="Text Box 3">
          <a:extLst>
            <a:ext uri="{FF2B5EF4-FFF2-40B4-BE49-F238E27FC236}">
              <a16:creationId xmlns:a16="http://schemas.microsoft.com/office/drawing/2014/main" id="{00000000-0008-0000-0100-000049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42" name="Text Box 32">
          <a:extLst>
            <a:ext uri="{FF2B5EF4-FFF2-40B4-BE49-F238E27FC236}">
              <a16:creationId xmlns:a16="http://schemas.microsoft.com/office/drawing/2014/main" id="{00000000-0008-0000-0100-00004A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43" name="Text Box 3">
          <a:extLst>
            <a:ext uri="{FF2B5EF4-FFF2-40B4-BE49-F238E27FC236}">
              <a16:creationId xmlns:a16="http://schemas.microsoft.com/office/drawing/2014/main" id="{00000000-0008-0000-0100-00004B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44" name="Text Box 63">
          <a:extLst>
            <a:ext uri="{FF2B5EF4-FFF2-40B4-BE49-F238E27FC236}">
              <a16:creationId xmlns:a16="http://schemas.microsoft.com/office/drawing/2014/main" id="{00000000-0008-0000-0100-00004C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45" name="Text Box 3">
          <a:extLst>
            <a:ext uri="{FF2B5EF4-FFF2-40B4-BE49-F238E27FC236}">
              <a16:creationId xmlns:a16="http://schemas.microsoft.com/office/drawing/2014/main" id="{00000000-0008-0000-0100-00004D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46" name="Text Box 32">
          <a:extLst>
            <a:ext uri="{FF2B5EF4-FFF2-40B4-BE49-F238E27FC236}">
              <a16:creationId xmlns:a16="http://schemas.microsoft.com/office/drawing/2014/main" id="{00000000-0008-0000-0100-00004E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47" name="Text Box 3">
          <a:extLst>
            <a:ext uri="{FF2B5EF4-FFF2-40B4-BE49-F238E27FC236}">
              <a16:creationId xmlns:a16="http://schemas.microsoft.com/office/drawing/2014/main" id="{00000000-0008-0000-0100-00004F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48" name="Text Box 63">
          <a:extLst>
            <a:ext uri="{FF2B5EF4-FFF2-40B4-BE49-F238E27FC236}">
              <a16:creationId xmlns:a16="http://schemas.microsoft.com/office/drawing/2014/main" id="{00000000-0008-0000-0100-000050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49" name="Text Box 3">
          <a:extLst>
            <a:ext uri="{FF2B5EF4-FFF2-40B4-BE49-F238E27FC236}">
              <a16:creationId xmlns:a16="http://schemas.microsoft.com/office/drawing/2014/main" id="{00000000-0008-0000-0100-000051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50" name="Text Box 32">
          <a:extLst>
            <a:ext uri="{FF2B5EF4-FFF2-40B4-BE49-F238E27FC236}">
              <a16:creationId xmlns:a16="http://schemas.microsoft.com/office/drawing/2014/main" id="{00000000-0008-0000-0100-000052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51" name="Text Box 3">
          <a:extLst>
            <a:ext uri="{FF2B5EF4-FFF2-40B4-BE49-F238E27FC236}">
              <a16:creationId xmlns:a16="http://schemas.microsoft.com/office/drawing/2014/main" id="{00000000-0008-0000-0100-000053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52" name="Text Box 63">
          <a:extLst>
            <a:ext uri="{FF2B5EF4-FFF2-40B4-BE49-F238E27FC236}">
              <a16:creationId xmlns:a16="http://schemas.microsoft.com/office/drawing/2014/main" id="{00000000-0008-0000-0100-000054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53" name="Text Box 3">
          <a:extLst>
            <a:ext uri="{FF2B5EF4-FFF2-40B4-BE49-F238E27FC236}">
              <a16:creationId xmlns:a16="http://schemas.microsoft.com/office/drawing/2014/main" id="{00000000-0008-0000-0100-000055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54" name="Text Box 32">
          <a:extLst>
            <a:ext uri="{FF2B5EF4-FFF2-40B4-BE49-F238E27FC236}">
              <a16:creationId xmlns:a16="http://schemas.microsoft.com/office/drawing/2014/main" id="{00000000-0008-0000-0100-000056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55" name="Text Box 3">
          <a:extLst>
            <a:ext uri="{FF2B5EF4-FFF2-40B4-BE49-F238E27FC236}">
              <a16:creationId xmlns:a16="http://schemas.microsoft.com/office/drawing/2014/main" id="{00000000-0008-0000-0100-000057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56" name="Text Box 63">
          <a:extLst>
            <a:ext uri="{FF2B5EF4-FFF2-40B4-BE49-F238E27FC236}">
              <a16:creationId xmlns:a16="http://schemas.microsoft.com/office/drawing/2014/main" id="{00000000-0008-0000-0100-000058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57" name="Text Box 3">
          <a:extLst>
            <a:ext uri="{FF2B5EF4-FFF2-40B4-BE49-F238E27FC236}">
              <a16:creationId xmlns:a16="http://schemas.microsoft.com/office/drawing/2014/main" id="{00000000-0008-0000-0100-000059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58" name="Text Box 32">
          <a:extLst>
            <a:ext uri="{FF2B5EF4-FFF2-40B4-BE49-F238E27FC236}">
              <a16:creationId xmlns:a16="http://schemas.microsoft.com/office/drawing/2014/main" id="{00000000-0008-0000-0100-00005A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59" name="Text Box 3">
          <a:extLst>
            <a:ext uri="{FF2B5EF4-FFF2-40B4-BE49-F238E27FC236}">
              <a16:creationId xmlns:a16="http://schemas.microsoft.com/office/drawing/2014/main" id="{00000000-0008-0000-0100-00005B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60" name="Text Box 63">
          <a:extLst>
            <a:ext uri="{FF2B5EF4-FFF2-40B4-BE49-F238E27FC236}">
              <a16:creationId xmlns:a16="http://schemas.microsoft.com/office/drawing/2014/main" id="{00000000-0008-0000-0100-00005C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61" name="Text Box 3">
          <a:extLst>
            <a:ext uri="{FF2B5EF4-FFF2-40B4-BE49-F238E27FC236}">
              <a16:creationId xmlns:a16="http://schemas.microsoft.com/office/drawing/2014/main" id="{00000000-0008-0000-0100-00005D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62" name="Text Box 32">
          <a:extLst>
            <a:ext uri="{FF2B5EF4-FFF2-40B4-BE49-F238E27FC236}">
              <a16:creationId xmlns:a16="http://schemas.microsoft.com/office/drawing/2014/main" id="{00000000-0008-0000-0100-00005E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63" name="Text Box 3">
          <a:extLst>
            <a:ext uri="{FF2B5EF4-FFF2-40B4-BE49-F238E27FC236}">
              <a16:creationId xmlns:a16="http://schemas.microsoft.com/office/drawing/2014/main" id="{00000000-0008-0000-0100-00005F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64" name="Text Box 63">
          <a:extLst>
            <a:ext uri="{FF2B5EF4-FFF2-40B4-BE49-F238E27FC236}">
              <a16:creationId xmlns:a16="http://schemas.microsoft.com/office/drawing/2014/main" id="{00000000-0008-0000-0100-000060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65" name="Text Box 3">
          <a:extLst>
            <a:ext uri="{FF2B5EF4-FFF2-40B4-BE49-F238E27FC236}">
              <a16:creationId xmlns:a16="http://schemas.microsoft.com/office/drawing/2014/main" id="{00000000-0008-0000-0100-000061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66" name="Text Box 32">
          <a:extLst>
            <a:ext uri="{FF2B5EF4-FFF2-40B4-BE49-F238E27FC236}">
              <a16:creationId xmlns:a16="http://schemas.microsoft.com/office/drawing/2014/main" id="{00000000-0008-0000-0100-000062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67" name="Text Box 3">
          <a:extLst>
            <a:ext uri="{FF2B5EF4-FFF2-40B4-BE49-F238E27FC236}">
              <a16:creationId xmlns:a16="http://schemas.microsoft.com/office/drawing/2014/main" id="{00000000-0008-0000-0100-000063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68" name="Text Box 63">
          <a:extLst>
            <a:ext uri="{FF2B5EF4-FFF2-40B4-BE49-F238E27FC236}">
              <a16:creationId xmlns:a16="http://schemas.microsoft.com/office/drawing/2014/main" id="{00000000-0008-0000-0100-000064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69" name="Text Box 3">
          <a:extLst>
            <a:ext uri="{FF2B5EF4-FFF2-40B4-BE49-F238E27FC236}">
              <a16:creationId xmlns:a16="http://schemas.microsoft.com/office/drawing/2014/main" id="{00000000-0008-0000-0100-000065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70" name="Text Box 32">
          <a:extLst>
            <a:ext uri="{FF2B5EF4-FFF2-40B4-BE49-F238E27FC236}">
              <a16:creationId xmlns:a16="http://schemas.microsoft.com/office/drawing/2014/main" id="{00000000-0008-0000-0100-000066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71" name="Text Box 3">
          <a:extLst>
            <a:ext uri="{FF2B5EF4-FFF2-40B4-BE49-F238E27FC236}">
              <a16:creationId xmlns:a16="http://schemas.microsoft.com/office/drawing/2014/main" id="{00000000-0008-0000-0100-000067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72" name="Text Box 63">
          <a:extLst>
            <a:ext uri="{FF2B5EF4-FFF2-40B4-BE49-F238E27FC236}">
              <a16:creationId xmlns:a16="http://schemas.microsoft.com/office/drawing/2014/main" id="{00000000-0008-0000-0100-000068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73" name="Text Box 3">
          <a:extLst>
            <a:ext uri="{FF2B5EF4-FFF2-40B4-BE49-F238E27FC236}">
              <a16:creationId xmlns:a16="http://schemas.microsoft.com/office/drawing/2014/main" id="{00000000-0008-0000-0100-000069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74" name="Text Box 32">
          <a:extLst>
            <a:ext uri="{FF2B5EF4-FFF2-40B4-BE49-F238E27FC236}">
              <a16:creationId xmlns:a16="http://schemas.microsoft.com/office/drawing/2014/main" id="{00000000-0008-0000-0100-00006A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75" name="Text Box 3">
          <a:extLst>
            <a:ext uri="{FF2B5EF4-FFF2-40B4-BE49-F238E27FC236}">
              <a16:creationId xmlns:a16="http://schemas.microsoft.com/office/drawing/2014/main" id="{00000000-0008-0000-0100-00006B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76" name="Text Box 63">
          <a:extLst>
            <a:ext uri="{FF2B5EF4-FFF2-40B4-BE49-F238E27FC236}">
              <a16:creationId xmlns:a16="http://schemas.microsoft.com/office/drawing/2014/main" id="{00000000-0008-0000-0100-00006C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77" name="Text Box 3">
          <a:extLst>
            <a:ext uri="{FF2B5EF4-FFF2-40B4-BE49-F238E27FC236}">
              <a16:creationId xmlns:a16="http://schemas.microsoft.com/office/drawing/2014/main" id="{00000000-0008-0000-0100-00006D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78" name="Text Box 32">
          <a:extLst>
            <a:ext uri="{FF2B5EF4-FFF2-40B4-BE49-F238E27FC236}">
              <a16:creationId xmlns:a16="http://schemas.microsoft.com/office/drawing/2014/main" id="{00000000-0008-0000-0100-00006E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79" name="Text Box 3">
          <a:extLst>
            <a:ext uri="{FF2B5EF4-FFF2-40B4-BE49-F238E27FC236}">
              <a16:creationId xmlns:a16="http://schemas.microsoft.com/office/drawing/2014/main" id="{00000000-0008-0000-0100-00006F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80" name="Text Box 63">
          <a:extLst>
            <a:ext uri="{FF2B5EF4-FFF2-40B4-BE49-F238E27FC236}">
              <a16:creationId xmlns:a16="http://schemas.microsoft.com/office/drawing/2014/main" id="{00000000-0008-0000-0100-000070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81" name="Text Box 3">
          <a:extLst>
            <a:ext uri="{FF2B5EF4-FFF2-40B4-BE49-F238E27FC236}">
              <a16:creationId xmlns:a16="http://schemas.microsoft.com/office/drawing/2014/main" id="{00000000-0008-0000-0100-000071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82" name="Text Box 32">
          <a:extLst>
            <a:ext uri="{FF2B5EF4-FFF2-40B4-BE49-F238E27FC236}">
              <a16:creationId xmlns:a16="http://schemas.microsoft.com/office/drawing/2014/main" id="{00000000-0008-0000-0100-000072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83" name="Text Box 3">
          <a:extLst>
            <a:ext uri="{FF2B5EF4-FFF2-40B4-BE49-F238E27FC236}">
              <a16:creationId xmlns:a16="http://schemas.microsoft.com/office/drawing/2014/main" id="{00000000-0008-0000-0100-000073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84" name="Text Box 63">
          <a:extLst>
            <a:ext uri="{FF2B5EF4-FFF2-40B4-BE49-F238E27FC236}">
              <a16:creationId xmlns:a16="http://schemas.microsoft.com/office/drawing/2014/main" id="{00000000-0008-0000-0100-000074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85" name="Text Box 3">
          <a:extLst>
            <a:ext uri="{FF2B5EF4-FFF2-40B4-BE49-F238E27FC236}">
              <a16:creationId xmlns:a16="http://schemas.microsoft.com/office/drawing/2014/main" id="{00000000-0008-0000-0100-000075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86" name="Text Box 32">
          <a:extLst>
            <a:ext uri="{FF2B5EF4-FFF2-40B4-BE49-F238E27FC236}">
              <a16:creationId xmlns:a16="http://schemas.microsoft.com/office/drawing/2014/main" id="{00000000-0008-0000-0100-000076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87" name="Text Box 3">
          <a:extLst>
            <a:ext uri="{FF2B5EF4-FFF2-40B4-BE49-F238E27FC236}">
              <a16:creationId xmlns:a16="http://schemas.microsoft.com/office/drawing/2014/main" id="{00000000-0008-0000-0100-000077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88" name="Text Box 63">
          <a:extLst>
            <a:ext uri="{FF2B5EF4-FFF2-40B4-BE49-F238E27FC236}">
              <a16:creationId xmlns:a16="http://schemas.microsoft.com/office/drawing/2014/main" id="{00000000-0008-0000-0100-000078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89" name="Text Box 32">
          <a:extLst>
            <a:ext uri="{FF2B5EF4-FFF2-40B4-BE49-F238E27FC236}">
              <a16:creationId xmlns:a16="http://schemas.microsoft.com/office/drawing/2014/main" id="{00000000-0008-0000-0100-000079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90" name="Text Box 3">
          <a:extLst>
            <a:ext uri="{FF2B5EF4-FFF2-40B4-BE49-F238E27FC236}">
              <a16:creationId xmlns:a16="http://schemas.microsoft.com/office/drawing/2014/main" id="{00000000-0008-0000-0100-00007A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91" name="Text Box 63">
          <a:extLst>
            <a:ext uri="{FF2B5EF4-FFF2-40B4-BE49-F238E27FC236}">
              <a16:creationId xmlns:a16="http://schemas.microsoft.com/office/drawing/2014/main" id="{00000000-0008-0000-0100-00007B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92" name="Text Box 3">
          <a:extLst>
            <a:ext uri="{FF2B5EF4-FFF2-40B4-BE49-F238E27FC236}">
              <a16:creationId xmlns:a16="http://schemas.microsoft.com/office/drawing/2014/main" id="{00000000-0008-0000-0100-00007C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93" name="Text Box 32">
          <a:extLst>
            <a:ext uri="{FF2B5EF4-FFF2-40B4-BE49-F238E27FC236}">
              <a16:creationId xmlns:a16="http://schemas.microsoft.com/office/drawing/2014/main" id="{00000000-0008-0000-0100-00007D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94" name="Text Box 3">
          <a:extLst>
            <a:ext uri="{FF2B5EF4-FFF2-40B4-BE49-F238E27FC236}">
              <a16:creationId xmlns:a16="http://schemas.microsoft.com/office/drawing/2014/main" id="{00000000-0008-0000-0100-00007E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95" name="Text Box 63">
          <a:extLst>
            <a:ext uri="{FF2B5EF4-FFF2-40B4-BE49-F238E27FC236}">
              <a16:creationId xmlns:a16="http://schemas.microsoft.com/office/drawing/2014/main" id="{00000000-0008-0000-0100-00007F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96" name="Text Box 3">
          <a:extLst>
            <a:ext uri="{FF2B5EF4-FFF2-40B4-BE49-F238E27FC236}">
              <a16:creationId xmlns:a16="http://schemas.microsoft.com/office/drawing/2014/main" id="{00000000-0008-0000-0100-000080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97" name="Text Box 32">
          <a:extLst>
            <a:ext uri="{FF2B5EF4-FFF2-40B4-BE49-F238E27FC236}">
              <a16:creationId xmlns:a16="http://schemas.microsoft.com/office/drawing/2014/main" id="{00000000-0008-0000-0100-000081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898" name="Text Box 3">
          <a:extLst>
            <a:ext uri="{FF2B5EF4-FFF2-40B4-BE49-F238E27FC236}">
              <a16:creationId xmlns:a16="http://schemas.microsoft.com/office/drawing/2014/main" id="{00000000-0008-0000-0100-000082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899" name="Text Box 63">
          <a:extLst>
            <a:ext uri="{FF2B5EF4-FFF2-40B4-BE49-F238E27FC236}">
              <a16:creationId xmlns:a16="http://schemas.microsoft.com/office/drawing/2014/main" id="{00000000-0008-0000-0100-000083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00" name="Text Box 3">
          <a:extLst>
            <a:ext uri="{FF2B5EF4-FFF2-40B4-BE49-F238E27FC236}">
              <a16:creationId xmlns:a16="http://schemas.microsoft.com/office/drawing/2014/main" id="{00000000-0008-0000-0100-000084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01" name="Text Box 32">
          <a:extLst>
            <a:ext uri="{FF2B5EF4-FFF2-40B4-BE49-F238E27FC236}">
              <a16:creationId xmlns:a16="http://schemas.microsoft.com/office/drawing/2014/main" id="{00000000-0008-0000-0100-000085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02" name="Text Box 3">
          <a:extLst>
            <a:ext uri="{FF2B5EF4-FFF2-40B4-BE49-F238E27FC236}">
              <a16:creationId xmlns:a16="http://schemas.microsoft.com/office/drawing/2014/main" id="{00000000-0008-0000-0100-000086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03" name="Text Box 63">
          <a:extLst>
            <a:ext uri="{FF2B5EF4-FFF2-40B4-BE49-F238E27FC236}">
              <a16:creationId xmlns:a16="http://schemas.microsoft.com/office/drawing/2014/main" id="{00000000-0008-0000-0100-000087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04" name="Text Box 3">
          <a:extLst>
            <a:ext uri="{FF2B5EF4-FFF2-40B4-BE49-F238E27FC236}">
              <a16:creationId xmlns:a16="http://schemas.microsoft.com/office/drawing/2014/main" id="{00000000-0008-0000-0100-000088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05" name="Text Box 32">
          <a:extLst>
            <a:ext uri="{FF2B5EF4-FFF2-40B4-BE49-F238E27FC236}">
              <a16:creationId xmlns:a16="http://schemas.microsoft.com/office/drawing/2014/main" id="{00000000-0008-0000-0100-000089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06" name="Text Box 3">
          <a:extLst>
            <a:ext uri="{FF2B5EF4-FFF2-40B4-BE49-F238E27FC236}">
              <a16:creationId xmlns:a16="http://schemas.microsoft.com/office/drawing/2014/main" id="{00000000-0008-0000-0100-00008A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07" name="Text Box 63">
          <a:extLst>
            <a:ext uri="{FF2B5EF4-FFF2-40B4-BE49-F238E27FC236}">
              <a16:creationId xmlns:a16="http://schemas.microsoft.com/office/drawing/2014/main" id="{00000000-0008-0000-0100-00008B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08" name="Text Box 3">
          <a:extLst>
            <a:ext uri="{FF2B5EF4-FFF2-40B4-BE49-F238E27FC236}">
              <a16:creationId xmlns:a16="http://schemas.microsoft.com/office/drawing/2014/main" id="{00000000-0008-0000-0100-00008C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09" name="Text Box 32">
          <a:extLst>
            <a:ext uri="{FF2B5EF4-FFF2-40B4-BE49-F238E27FC236}">
              <a16:creationId xmlns:a16="http://schemas.microsoft.com/office/drawing/2014/main" id="{00000000-0008-0000-0100-00008D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10" name="Text Box 3">
          <a:extLst>
            <a:ext uri="{FF2B5EF4-FFF2-40B4-BE49-F238E27FC236}">
              <a16:creationId xmlns:a16="http://schemas.microsoft.com/office/drawing/2014/main" id="{00000000-0008-0000-0100-00008E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11" name="Text Box 63">
          <a:extLst>
            <a:ext uri="{FF2B5EF4-FFF2-40B4-BE49-F238E27FC236}">
              <a16:creationId xmlns:a16="http://schemas.microsoft.com/office/drawing/2014/main" id="{00000000-0008-0000-0100-00008F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12" name="Text Box 3">
          <a:extLst>
            <a:ext uri="{FF2B5EF4-FFF2-40B4-BE49-F238E27FC236}">
              <a16:creationId xmlns:a16="http://schemas.microsoft.com/office/drawing/2014/main" id="{00000000-0008-0000-0100-000090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13" name="Text Box 32">
          <a:extLst>
            <a:ext uri="{FF2B5EF4-FFF2-40B4-BE49-F238E27FC236}">
              <a16:creationId xmlns:a16="http://schemas.microsoft.com/office/drawing/2014/main" id="{00000000-0008-0000-0100-000091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14" name="Text Box 3">
          <a:extLst>
            <a:ext uri="{FF2B5EF4-FFF2-40B4-BE49-F238E27FC236}">
              <a16:creationId xmlns:a16="http://schemas.microsoft.com/office/drawing/2014/main" id="{00000000-0008-0000-0100-000092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15" name="Text Box 63">
          <a:extLst>
            <a:ext uri="{FF2B5EF4-FFF2-40B4-BE49-F238E27FC236}">
              <a16:creationId xmlns:a16="http://schemas.microsoft.com/office/drawing/2014/main" id="{00000000-0008-0000-0100-000093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16" name="Text Box 3">
          <a:extLst>
            <a:ext uri="{FF2B5EF4-FFF2-40B4-BE49-F238E27FC236}">
              <a16:creationId xmlns:a16="http://schemas.microsoft.com/office/drawing/2014/main" id="{00000000-0008-0000-0100-000094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17" name="Text Box 32">
          <a:extLst>
            <a:ext uri="{FF2B5EF4-FFF2-40B4-BE49-F238E27FC236}">
              <a16:creationId xmlns:a16="http://schemas.microsoft.com/office/drawing/2014/main" id="{00000000-0008-0000-0100-000095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18" name="Text Box 3">
          <a:extLst>
            <a:ext uri="{FF2B5EF4-FFF2-40B4-BE49-F238E27FC236}">
              <a16:creationId xmlns:a16="http://schemas.microsoft.com/office/drawing/2014/main" id="{00000000-0008-0000-0100-000096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19" name="Text Box 63">
          <a:extLst>
            <a:ext uri="{FF2B5EF4-FFF2-40B4-BE49-F238E27FC236}">
              <a16:creationId xmlns:a16="http://schemas.microsoft.com/office/drawing/2014/main" id="{00000000-0008-0000-0100-000097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20" name="Text Box 3">
          <a:extLst>
            <a:ext uri="{FF2B5EF4-FFF2-40B4-BE49-F238E27FC236}">
              <a16:creationId xmlns:a16="http://schemas.microsoft.com/office/drawing/2014/main" id="{00000000-0008-0000-0100-000098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21" name="Text Box 32">
          <a:extLst>
            <a:ext uri="{FF2B5EF4-FFF2-40B4-BE49-F238E27FC236}">
              <a16:creationId xmlns:a16="http://schemas.microsoft.com/office/drawing/2014/main" id="{00000000-0008-0000-0100-000099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22" name="Text Box 3">
          <a:extLst>
            <a:ext uri="{FF2B5EF4-FFF2-40B4-BE49-F238E27FC236}">
              <a16:creationId xmlns:a16="http://schemas.microsoft.com/office/drawing/2014/main" id="{00000000-0008-0000-0100-00009A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23" name="Text Box 63">
          <a:extLst>
            <a:ext uri="{FF2B5EF4-FFF2-40B4-BE49-F238E27FC236}">
              <a16:creationId xmlns:a16="http://schemas.microsoft.com/office/drawing/2014/main" id="{00000000-0008-0000-0100-00009B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24" name="Text Box 3">
          <a:extLst>
            <a:ext uri="{FF2B5EF4-FFF2-40B4-BE49-F238E27FC236}">
              <a16:creationId xmlns:a16="http://schemas.microsoft.com/office/drawing/2014/main" id="{00000000-0008-0000-0100-00009C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25" name="Text Box 32">
          <a:extLst>
            <a:ext uri="{FF2B5EF4-FFF2-40B4-BE49-F238E27FC236}">
              <a16:creationId xmlns:a16="http://schemas.microsoft.com/office/drawing/2014/main" id="{00000000-0008-0000-0100-00009D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26" name="Text Box 3">
          <a:extLst>
            <a:ext uri="{FF2B5EF4-FFF2-40B4-BE49-F238E27FC236}">
              <a16:creationId xmlns:a16="http://schemas.microsoft.com/office/drawing/2014/main" id="{00000000-0008-0000-0100-00009E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27" name="Text Box 63">
          <a:extLst>
            <a:ext uri="{FF2B5EF4-FFF2-40B4-BE49-F238E27FC236}">
              <a16:creationId xmlns:a16="http://schemas.microsoft.com/office/drawing/2014/main" id="{00000000-0008-0000-0100-00009F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28" name="Text Box 3">
          <a:extLst>
            <a:ext uri="{FF2B5EF4-FFF2-40B4-BE49-F238E27FC236}">
              <a16:creationId xmlns:a16="http://schemas.microsoft.com/office/drawing/2014/main" id="{00000000-0008-0000-0100-0000A0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29" name="Text Box 32">
          <a:extLst>
            <a:ext uri="{FF2B5EF4-FFF2-40B4-BE49-F238E27FC236}">
              <a16:creationId xmlns:a16="http://schemas.microsoft.com/office/drawing/2014/main" id="{00000000-0008-0000-0100-0000A1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30" name="Text Box 3">
          <a:extLst>
            <a:ext uri="{FF2B5EF4-FFF2-40B4-BE49-F238E27FC236}">
              <a16:creationId xmlns:a16="http://schemas.microsoft.com/office/drawing/2014/main" id="{00000000-0008-0000-0100-0000A2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31" name="Text Box 63">
          <a:extLst>
            <a:ext uri="{FF2B5EF4-FFF2-40B4-BE49-F238E27FC236}">
              <a16:creationId xmlns:a16="http://schemas.microsoft.com/office/drawing/2014/main" id="{00000000-0008-0000-0100-0000A3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32" name="Text Box 3">
          <a:extLst>
            <a:ext uri="{FF2B5EF4-FFF2-40B4-BE49-F238E27FC236}">
              <a16:creationId xmlns:a16="http://schemas.microsoft.com/office/drawing/2014/main" id="{00000000-0008-0000-0100-0000A4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33" name="Text Box 32">
          <a:extLst>
            <a:ext uri="{FF2B5EF4-FFF2-40B4-BE49-F238E27FC236}">
              <a16:creationId xmlns:a16="http://schemas.microsoft.com/office/drawing/2014/main" id="{00000000-0008-0000-0100-0000A5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34" name="Text Box 3">
          <a:extLst>
            <a:ext uri="{FF2B5EF4-FFF2-40B4-BE49-F238E27FC236}">
              <a16:creationId xmlns:a16="http://schemas.microsoft.com/office/drawing/2014/main" id="{00000000-0008-0000-0100-0000A6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35" name="Text Box 63">
          <a:extLst>
            <a:ext uri="{FF2B5EF4-FFF2-40B4-BE49-F238E27FC236}">
              <a16:creationId xmlns:a16="http://schemas.microsoft.com/office/drawing/2014/main" id="{00000000-0008-0000-0100-0000A7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36" name="Text Box 3">
          <a:extLst>
            <a:ext uri="{FF2B5EF4-FFF2-40B4-BE49-F238E27FC236}">
              <a16:creationId xmlns:a16="http://schemas.microsoft.com/office/drawing/2014/main" id="{00000000-0008-0000-0100-0000A8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37" name="Text Box 32">
          <a:extLst>
            <a:ext uri="{FF2B5EF4-FFF2-40B4-BE49-F238E27FC236}">
              <a16:creationId xmlns:a16="http://schemas.microsoft.com/office/drawing/2014/main" id="{00000000-0008-0000-0100-0000A9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38" name="Text Box 3">
          <a:extLst>
            <a:ext uri="{FF2B5EF4-FFF2-40B4-BE49-F238E27FC236}">
              <a16:creationId xmlns:a16="http://schemas.microsoft.com/office/drawing/2014/main" id="{00000000-0008-0000-0100-0000AA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39" name="Text Box 63">
          <a:extLst>
            <a:ext uri="{FF2B5EF4-FFF2-40B4-BE49-F238E27FC236}">
              <a16:creationId xmlns:a16="http://schemas.microsoft.com/office/drawing/2014/main" id="{00000000-0008-0000-0100-0000AB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40" name="Text Box 3">
          <a:extLst>
            <a:ext uri="{FF2B5EF4-FFF2-40B4-BE49-F238E27FC236}">
              <a16:creationId xmlns:a16="http://schemas.microsoft.com/office/drawing/2014/main" id="{00000000-0008-0000-0100-0000AC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41" name="Text Box 32">
          <a:extLst>
            <a:ext uri="{FF2B5EF4-FFF2-40B4-BE49-F238E27FC236}">
              <a16:creationId xmlns:a16="http://schemas.microsoft.com/office/drawing/2014/main" id="{00000000-0008-0000-0100-0000AD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42" name="Text Box 3">
          <a:extLst>
            <a:ext uri="{FF2B5EF4-FFF2-40B4-BE49-F238E27FC236}">
              <a16:creationId xmlns:a16="http://schemas.microsoft.com/office/drawing/2014/main" id="{00000000-0008-0000-0100-0000AE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43" name="Text Box 63">
          <a:extLst>
            <a:ext uri="{FF2B5EF4-FFF2-40B4-BE49-F238E27FC236}">
              <a16:creationId xmlns:a16="http://schemas.microsoft.com/office/drawing/2014/main" id="{00000000-0008-0000-0100-0000AF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44" name="Text Box 3">
          <a:extLst>
            <a:ext uri="{FF2B5EF4-FFF2-40B4-BE49-F238E27FC236}">
              <a16:creationId xmlns:a16="http://schemas.microsoft.com/office/drawing/2014/main" id="{00000000-0008-0000-0100-0000B0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45" name="Text Box 32">
          <a:extLst>
            <a:ext uri="{FF2B5EF4-FFF2-40B4-BE49-F238E27FC236}">
              <a16:creationId xmlns:a16="http://schemas.microsoft.com/office/drawing/2014/main" id="{00000000-0008-0000-0100-0000B1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46" name="Text Box 3">
          <a:extLst>
            <a:ext uri="{FF2B5EF4-FFF2-40B4-BE49-F238E27FC236}">
              <a16:creationId xmlns:a16="http://schemas.microsoft.com/office/drawing/2014/main" id="{00000000-0008-0000-0100-0000B2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47" name="Text Box 63">
          <a:extLst>
            <a:ext uri="{FF2B5EF4-FFF2-40B4-BE49-F238E27FC236}">
              <a16:creationId xmlns:a16="http://schemas.microsoft.com/office/drawing/2014/main" id="{00000000-0008-0000-0100-0000B3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48" name="Text Box 3">
          <a:extLst>
            <a:ext uri="{FF2B5EF4-FFF2-40B4-BE49-F238E27FC236}">
              <a16:creationId xmlns:a16="http://schemas.microsoft.com/office/drawing/2014/main" id="{00000000-0008-0000-0100-0000B4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49" name="Text Box 32">
          <a:extLst>
            <a:ext uri="{FF2B5EF4-FFF2-40B4-BE49-F238E27FC236}">
              <a16:creationId xmlns:a16="http://schemas.microsoft.com/office/drawing/2014/main" id="{00000000-0008-0000-0100-0000B5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50" name="Text Box 3">
          <a:extLst>
            <a:ext uri="{FF2B5EF4-FFF2-40B4-BE49-F238E27FC236}">
              <a16:creationId xmlns:a16="http://schemas.microsoft.com/office/drawing/2014/main" id="{00000000-0008-0000-0100-0000B6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51" name="Text Box 63">
          <a:extLst>
            <a:ext uri="{FF2B5EF4-FFF2-40B4-BE49-F238E27FC236}">
              <a16:creationId xmlns:a16="http://schemas.microsoft.com/office/drawing/2014/main" id="{00000000-0008-0000-0100-0000B7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52" name="Text Box 3">
          <a:extLst>
            <a:ext uri="{FF2B5EF4-FFF2-40B4-BE49-F238E27FC236}">
              <a16:creationId xmlns:a16="http://schemas.microsoft.com/office/drawing/2014/main" id="{00000000-0008-0000-0100-0000B8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53" name="Text Box 32">
          <a:extLst>
            <a:ext uri="{FF2B5EF4-FFF2-40B4-BE49-F238E27FC236}">
              <a16:creationId xmlns:a16="http://schemas.microsoft.com/office/drawing/2014/main" id="{00000000-0008-0000-0100-0000B9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54" name="Text Box 3">
          <a:extLst>
            <a:ext uri="{FF2B5EF4-FFF2-40B4-BE49-F238E27FC236}">
              <a16:creationId xmlns:a16="http://schemas.microsoft.com/office/drawing/2014/main" id="{00000000-0008-0000-0100-0000BA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55" name="Text Box 63">
          <a:extLst>
            <a:ext uri="{FF2B5EF4-FFF2-40B4-BE49-F238E27FC236}">
              <a16:creationId xmlns:a16="http://schemas.microsoft.com/office/drawing/2014/main" id="{00000000-0008-0000-0100-0000BB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56" name="Text Box 3">
          <a:extLst>
            <a:ext uri="{FF2B5EF4-FFF2-40B4-BE49-F238E27FC236}">
              <a16:creationId xmlns:a16="http://schemas.microsoft.com/office/drawing/2014/main" id="{00000000-0008-0000-0100-0000BC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57" name="Text Box 32">
          <a:extLst>
            <a:ext uri="{FF2B5EF4-FFF2-40B4-BE49-F238E27FC236}">
              <a16:creationId xmlns:a16="http://schemas.microsoft.com/office/drawing/2014/main" id="{00000000-0008-0000-0100-0000BD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58" name="Text Box 3">
          <a:extLst>
            <a:ext uri="{FF2B5EF4-FFF2-40B4-BE49-F238E27FC236}">
              <a16:creationId xmlns:a16="http://schemas.microsoft.com/office/drawing/2014/main" id="{00000000-0008-0000-0100-0000BE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59" name="Text Box 63">
          <a:extLst>
            <a:ext uri="{FF2B5EF4-FFF2-40B4-BE49-F238E27FC236}">
              <a16:creationId xmlns:a16="http://schemas.microsoft.com/office/drawing/2014/main" id="{00000000-0008-0000-0100-0000BF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60" name="Text Box 3">
          <a:extLst>
            <a:ext uri="{FF2B5EF4-FFF2-40B4-BE49-F238E27FC236}">
              <a16:creationId xmlns:a16="http://schemas.microsoft.com/office/drawing/2014/main" id="{00000000-0008-0000-0100-0000C0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61" name="Text Box 32">
          <a:extLst>
            <a:ext uri="{FF2B5EF4-FFF2-40B4-BE49-F238E27FC236}">
              <a16:creationId xmlns:a16="http://schemas.microsoft.com/office/drawing/2014/main" id="{00000000-0008-0000-0100-0000C1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62" name="Text Box 3">
          <a:extLst>
            <a:ext uri="{FF2B5EF4-FFF2-40B4-BE49-F238E27FC236}">
              <a16:creationId xmlns:a16="http://schemas.microsoft.com/office/drawing/2014/main" id="{00000000-0008-0000-0100-0000C2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63" name="Text Box 63">
          <a:extLst>
            <a:ext uri="{FF2B5EF4-FFF2-40B4-BE49-F238E27FC236}">
              <a16:creationId xmlns:a16="http://schemas.microsoft.com/office/drawing/2014/main" id="{00000000-0008-0000-0100-0000C3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64" name="Text Box 3">
          <a:extLst>
            <a:ext uri="{FF2B5EF4-FFF2-40B4-BE49-F238E27FC236}">
              <a16:creationId xmlns:a16="http://schemas.microsoft.com/office/drawing/2014/main" id="{00000000-0008-0000-0100-0000C4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65" name="Text Box 32">
          <a:extLst>
            <a:ext uri="{FF2B5EF4-FFF2-40B4-BE49-F238E27FC236}">
              <a16:creationId xmlns:a16="http://schemas.microsoft.com/office/drawing/2014/main" id="{00000000-0008-0000-0100-0000C5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66" name="Text Box 3">
          <a:extLst>
            <a:ext uri="{FF2B5EF4-FFF2-40B4-BE49-F238E27FC236}">
              <a16:creationId xmlns:a16="http://schemas.microsoft.com/office/drawing/2014/main" id="{00000000-0008-0000-0100-0000C6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67" name="Text Box 63">
          <a:extLst>
            <a:ext uri="{FF2B5EF4-FFF2-40B4-BE49-F238E27FC236}">
              <a16:creationId xmlns:a16="http://schemas.microsoft.com/office/drawing/2014/main" id="{00000000-0008-0000-0100-0000C7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68" name="Text Box 3">
          <a:extLst>
            <a:ext uri="{FF2B5EF4-FFF2-40B4-BE49-F238E27FC236}">
              <a16:creationId xmlns:a16="http://schemas.microsoft.com/office/drawing/2014/main" id="{00000000-0008-0000-0100-0000C8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69" name="Text Box 32">
          <a:extLst>
            <a:ext uri="{FF2B5EF4-FFF2-40B4-BE49-F238E27FC236}">
              <a16:creationId xmlns:a16="http://schemas.microsoft.com/office/drawing/2014/main" id="{00000000-0008-0000-0100-0000C9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70" name="Text Box 3">
          <a:extLst>
            <a:ext uri="{FF2B5EF4-FFF2-40B4-BE49-F238E27FC236}">
              <a16:creationId xmlns:a16="http://schemas.microsoft.com/office/drawing/2014/main" id="{00000000-0008-0000-0100-0000CA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71" name="Text Box 63">
          <a:extLst>
            <a:ext uri="{FF2B5EF4-FFF2-40B4-BE49-F238E27FC236}">
              <a16:creationId xmlns:a16="http://schemas.microsoft.com/office/drawing/2014/main" id="{00000000-0008-0000-0100-0000CB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72" name="Text Box 3">
          <a:extLst>
            <a:ext uri="{FF2B5EF4-FFF2-40B4-BE49-F238E27FC236}">
              <a16:creationId xmlns:a16="http://schemas.microsoft.com/office/drawing/2014/main" id="{00000000-0008-0000-0100-0000CC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73" name="Text Box 32">
          <a:extLst>
            <a:ext uri="{FF2B5EF4-FFF2-40B4-BE49-F238E27FC236}">
              <a16:creationId xmlns:a16="http://schemas.microsoft.com/office/drawing/2014/main" id="{00000000-0008-0000-0100-0000CD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74" name="Text Box 3">
          <a:extLst>
            <a:ext uri="{FF2B5EF4-FFF2-40B4-BE49-F238E27FC236}">
              <a16:creationId xmlns:a16="http://schemas.microsoft.com/office/drawing/2014/main" id="{00000000-0008-0000-0100-0000CE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75" name="Text Box 63">
          <a:extLst>
            <a:ext uri="{FF2B5EF4-FFF2-40B4-BE49-F238E27FC236}">
              <a16:creationId xmlns:a16="http://schemas.microsoft.com/office/drawing/2014/main" id="{00000000-0008-0000-0100-0000CF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76" name="Text Box 3">
          <a:extLst>
            <a:ext uri="{FF2B5EF4-FFF2-40B4-BE49-F238E27FC236}">
              <a16:creationId xmlns:a16="http://schemas.microsoft.com/office/drawing/2014/main" id="{00000000-0008-0000-0100-0000D0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77" name="Text Box 32">
          <a:extLst>
            <a:ext uri="{FF2B5EF4-FFF2-40B4-BE49-F238E27FC236}">
              <a16:creationId xmlns:a16="http://schemas.microsoft.com/office/drawing/2014/main" id="{00000000-0008-0000-0100-0000D1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78" name="Text Box 3">
          <a:extLst>
            <a:ext uri="{FF2B5EF4-FFF2-40B4-BE49-F238E27FC236}">
              <a16:creationId xmlns:a16="http://schemas.microsoft.com/office/drawing/2014/main" id="{00000000-0008-0000-0100-0000D2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79" name="Text Box 63">
          <a:extLst>
            <a:ext uri="{FF2B5EF4-FFF2-40B4-BE49-F238E27FC236}">
              <a16:creationId xmlns:a16="http://schemas.microsoft.com/office/drawing/2014/main" id="{00000000-0008-0000-0100-0000D3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80" name="Text Box 3">
          <a:extLst>
            <a:ext uri="{FF2B5EF4-FFF2-40B4-BE49-F238E27FC236}">
              <a16:creationId xmlns:a16="http://schemas.microsoft.com/office/drawing/2014/main" id="{00000000-0008-0000-0100-0000D4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81" name="Text Box 32">
          <a:extLst>
            <a:ext uri="{FF2B5EF4-FFF2-40B4-BE49-F238E27FC236}">
              <a16:creationId xmlns:a16="http://schemas.microsoft.com/office/drawing/2014/main" id="{00000000-0008-0000-0100-0000D5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82" name="Text Box 3">
          <a:extLst>
            <a:ext uri="{FF2B5EF4-FFF2-40B4-BE49-F238E27FC236}">
              <a16:creationId xmlns:a16="http://schemas.microsoft.com/office/drawing/2014/main" id="{00000000-0008-0000-0100-0000D6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83" name="Text Box 63">
          <a:extLst>
            <a:ext uri="{FF2B5EF4-FFF2-40B4-BE49-F238E27FC236}">
              <a16:creationId xmlns:a16="http://schemas.microsoft.com/office/drawing/2014/main" id="{00000000-0008-0000-0100-0000D7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84" name="Text Box 3">
          <a:extLst>
            <a:ext uri="{FF2B5EF4-FFF2-40B4-BE49-F238E27FC236}">
              <a16:creationId xmlns:a16="http://schemas.microsoft.com/office/drawing/2014/main" id="{00000000-0008-0000-0100-0000D8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85" name="Text Box 32">
          <a:extLst>
            <a:ext uri="{FF2B5EF4-FFF2-40B4-BE49-F238E27FC236}">
              <a16:creationId xmlns:a16="http://schemas.microsoft.com/office/drawing/2014/main" id="{00000000-0008-0000-0100-0000D9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86" name="Text Box 3">
          <a:extLst>
            <a:ext uri="{FF2B5EF4-FFF2-40B4-BE49-F238E27FC236}">
              <a16:creationId xmlns:a16="http://schemas.microsoft.com/office/drawing/2014/main" id="{00000000-0008-0000-0100-0000DA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87" name="Text Box 63">
          <a:extLst>
            <a:ext uri="{FF2B5EF4-FFF2-40B4-BE49-F238E27FC236}">
              <a16:creationId xmlns:a16="http://schemas.microsoft.com/office/drawing/2014/main" id="{00000000-0008-0000-0100-0000DB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88" name="Text Box 3">
          <a:extLst>
            <a:ext uri="{FF2B5EF4-FFF2-40B4-BE49-F238E27FC236}">
              <a16:creationId xmlns:a16="http://schemas.microsoft.com/office/drawing/2014/main" id="{00000000-0008-0000-0100-0000DC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89" name="Text Box 32">
          <a:extLst>
            <a:ext uri="{FF2B5EF4-FFF2-40B4-BE49-F238E27FC236}">
              <a16:creationId xmlns:a16="http://schemas.microsoft.com/office/drawing/2014/main" id="{00000000-0008-0000-0100-0000DD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90" name="Text Box 3">
          <a:extLst>
            <a:ext uri="{FF2B5EF4-FFF2-40B4-BE49-F238E27FC236}">
              <a16:creationId xmlns:a16="http://schemas.microsoft.com/office/drawing/2014/main" id="{00000000-0008-0000-0100-0000DE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91" name="Text Box 63">
          <a:extLst>
            <a:ext uri="{FF2B5EF4-FFF2-40B4-BE49-F238E27FC236}">
              <a16:creationId xmlns:a16="http://schemas.microsoft.com/office/drawing/2014/main" id="{00000000-0008-0000-0100-0000DF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92" name="Text Box 3">
          <a:extLst>
            <a:ext uri="{FF2B5EF4-FFF2-40B4-BE49-F238E27FC236}">
              <a16:creationId xmlns:a16="http://schemas.microsoft.com/office/drawing/2014/main" id="{00000000-0008-0000-0100-0000E0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93" name="Text Box 32">
          <a:extLst>
            <a:ext uri="{FF2B5EF4-FFF2-40B4-BE49-F238E27FC236}">
              <a16:creationId xmlns:a16="http://schemas.microsoft.com/office/drawing/2014/main" id="{00000000-0008-0000-0100-0000E1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94" name="Text Box 3">
          <a:extLst>
            <a:ext uri="{FF2B5EF4-FFF2-40B4-BE49-F238E27FC236}">
              <a16:creationId xmlns:a16="http://schemas.microsoft.com/office/drawing/2014/main" id="{00000000-0008-0000-0100-0000E2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95" name="Text Box 63">
          <a:extLst>
            <a:ext uri="{FF2B5EF4-FFF2-40B4-BE49-F238E27FC236}">
              <a16:creationId xmlns:a16="http://schemas.microsoft.com/office/drawing/2014/main" id="{00000000-0008-0000-0100-0000E3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96" name="Text Box 3">
          <a:extLst>
            <a:ext uri="{FF2B5EF4-FFF2-40B4-BE49-F238E27FC236}">
              <a16:creationId xmlns:a16="http://schemas.microsoft.com/office/drawing/2014/main" id="{00000000-0008-0000-0100-0000E4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97" name="Text Box 32">
          <a:extLst>
            <a:ext uri="{FF2B5EF4-FFF2-40B4-BE49-F238E27FC236}">
              <a16:creationId xmlns:a16="http://schemas.microsoft.com/office/drawing/2014/main" id="{00000000-0008-0000-0100-0000E5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998" name="Text Box 3">
          <a:extLst>
            <a:ext uri="{FF2B5EF4-FFF2-40B4-BE49-F238E27FC236}">
              <a16:creationId xmlns:a16="http://schemas.microsoft.com/office/drawing/2014/main" id="{00000000-0008-0000-0100-0000E6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999" name="Text Box 63">
          <a:extLst>
            <a:ext uri="{FF2B5EF4-FFF2-40B4-BE49-F238E27FC236}">
              <a16:creationId xmlns:a16="http://schemas.microsoft.com/office/drawing/2014/main" id="{00000000-0008-0000-0100-0000E7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00" name="Text Box 3">
          <a:extLst>
            <a:ext uri="{FF2B5EF4-FFF2-40B4-BE49-F238E27FC236}">
              <a16:creationId xmlns:a16="http://schemas.microsoft.com/office/drawing/2014/main" id="{00000000-0008-0000-0100-0000E8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01" name="Text Box 32">
          <a:extLst>
            <a:ext uri="{FF2B5EF4-FFF2-40B4-BE49-F238E27FC236}">
              <a16:creationId xmlns:a16="http://schemas.microsoft.com/office/drawing/2014/main" id="{00000000-0008-0000-0100-0000E9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02" name="Text Box 3">
          <a:extLst>
            <a:ext uri="{FF2B5EF4-FFF2-40B4-BE49-F238E27FC236}">
              <a16:creationId xmlns:a16="http://schemas.microsoft.com/office/drawing/2014/main" id="{00000000-0008-0000-0100-0000EA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03" name="Text Box 63">
          <a:extLst>
            <a:ext uri="{FF2B5EF4-FFF2-40B4-BE49-F238E27FC236}">
              <a16:creationId xmlns:a16="http://schemas.microsoft.com/office/drawing/2014/main" id="{00000000-0008-0000-0100-0000EB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04" name="Text Box 3">
          <a:extLst>
            <a:ext uri="{FF2B5EF4-FFF2-40B4-BE49-F238E27FC236}">
              <a16:creationId xmlns:a16="http://schemas.microsoft.com/office/drawing/2014/main" id="{00000000-0008-0000-0100-0000EC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05" name="Text Box 32">
          <a:extLst>
            <a:ext uri="{FF2B5EF4-FFF2-40B4-BE49-F238E27FC236}">
              <a16:creationId xmlns:a16="http://schemas.microsoft.com/office/drawing/2014/main" id="{00000000-0008-0000-0100-0000ED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06" name="Text Box 3">
          <a:extLst>
            <a:ext uri="{FF2B5EF4-FFF2-40B4-BE49-F238E27FC236}">
              <a16:creationId xmlns:a16="http://schemas.microsoft.com/office/drawing/2014/main" id="{00000000-0008-0000-0100-0000EE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07" name="Text Box 63">
          <a:extLst>
            <a:ext uri="{FF2B5EF4-FFF2-40B4-BE49-F238E27FC236}">
              <a16:creationId xmlns:a16="http://schemas.microsoft.com/office/drawing/2014/main" id="{00000000-0008-0000-0100-0000EF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08" name="Text Box 3">
          <a:extLst>
            <a:ext uri="{FF2B5EF4-FFF2-40B4-BE49-F238E27FC236}">
              <a16:creationId xmlns:a16="http://schemas.microsoft.com/office/drawing/2014/main" id="{00000000-0008-0000-0100-0000F0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09" name="Text Box 32">
          <a:extLst>
            <a:ext uri="{FF2B5EF4-FFF2-40B4-BE49-F238E27FC236}">
              <a16:creationId xmlns:a16="http://schemas.microsoft.com/office/drawing/2014/main" id="{00000000-0008-0000-0100-0000F1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10" name="Text Box 3">
          <a:extLst>
            <a:ext uri="{FF2B5EF4-FFF2-40B4-BE49-F238E27FC236}">
              <a16:creationId xmlns:a16="http://schemas.microsoft.com/office/drawing/2014/main" id="{00000000-0008-0000-0100-0000F2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11" name="Text Box 63">
          <a:extLst>
            <a:ext uri="{FF2B5EF4-FFF2-40B4-BE49-F238E27FC236}">
              <a16:creationId xmlns:a16="http://schemas.microsoft.com/office/drawing/2014/main" id="{00000000-0008-0000-0100-0000F3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12" name="Text Box 3">
          <a:extLst>
            <a:ext uri="{FF2B5EF4-FFF2-40B4-BE49-F238E27FC236}">
              <a16:creationId xmlns:a16="http://schemas.microsoft.com/office/drawing/2014/main" id="{00000000-0008-0000-0100-0000F4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13" name="Text Box 32">
          <a:extLst>
            <a:ext uri="{FF2B5EF4-FFF2-40B4-BE49-F238E27FC236}">
              <a16:creationId xmlns:a16="http://schemas.microsoft.com/office/drawing/2014/main" id="{00000000-0008-0000-0100-0000F5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14" name="Text Box 3">
          <a:extLst>
            <a:ext uri="{FF2B5EF4-FFF2-40B4-BE49-F238E27FC236}">
              <a16:creationId xmlns:a16="http://schemas.microsoft.com/office/drawing/2014/main" id="{00000000-0008-0000-0100-0000F6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15" name="Text Box 63">
          <a:extLst>
            <a:ext uri="{FF2B5EF4-FFF2-40B4-BE49-F238E27FC236}">
              <a16:creationId xmlns:a16="http://schemas.microsoft.com/office/drawing/2014/main" id="{00000000-0008-0000-0100-0000F7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16" name="Text Box 3">
          <a:extLst>
            <a:ext uri="{FF2B5EF4-FFF2-40B4-BE49-F238E27FC236}">
              <a16:creationId xmlns:a16="http://schemas.microsoft.com/office/drawing/2014/main" id="{00000000-0008-0000-0100-0000F8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17" name="Text Box 32">
          <a:extLst>
            <a:ext uri="{FF2B5EF4-FFF2-40B4-BE49-F238E27FC236}">
              <a16:creationId xmlns:a16="http://schemas.microsoft.com/office/drawing/2014/main" id="{00000000-0008-0000-0100-0000F9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18" name="Text Box 3">
          <a:extLst>
            <a:ext uri="{FF2B5EF4-FFF2-40B4-BE49-F238E27FC236}">
              <a16:creationId xmlns:a16="http://schemas.microsoft.com/office/drawing/2014/main" id="{00000000-0008-0000-0100-0000FA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19" name="Text Box 63">
          <a:extLst>
            <a:ext uri="{FF2B5EF4-FFF2-40B4-BE49-F238E27FC236}">
              <a16:creationId xmlns:a16="http://schemas.microsoft.com/office/drawing/2014/main" id="{00000000-0008-0000-0100-0000FB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20" name="Text Box 3">
          <a:extLst>
            <a:ext uri="{FF2B5EF4-FFF2-40B4-BE49-F238E27FC236}">
              <a16:creationId xmlns:a16="http://schemas.microsoft.com/office/drawing/2014/main" id="{00000000-0008-0000-0100-0000FC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21" name="Text Box 32">
          <a:extLst>
            <a:ext uri="{FF2B5EF4-FFF2-40B4-BE49-F238E27FC236}">
              <a16:creationId xmlns:a16="http://schemas.microsoft.com/office/drawing/2014/main" id="{00000000-0008-0000-0100-0000FD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22" name="Text Box 3">
          <a:extLst>
            <a:ext uri="{FF2B5EF4-FFF2-40B4-BE49-F238E27FC236}">
              <a16:creationId xmlns:a16="http://schemas.microsoft.com/office/drawing/2014/main" id="{00000000-0008-0000-0100-0000FE03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23" name="Text Box 63">
          <a:extLst>
            <a:ext uri="{FF2B5EF4-FFF2-40B4-BE49-F238E27FC236}">
              <a16:creationId xmlns:a16="http://schemas.microsoft.com/office/drawing/2014/main" id="{00000000-0008-0000-0100-0000FF03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24" name="Text Box 3">
          <a:extLst>
            <a:ext uri="{FF2B5EF4-FFF2-40B4-BE49-F238E27FC236}">
              <a16:creationId xmlns:a16="http://schemas.microsoft.com/office/drawing/2014/main" id="{00000000-0008-0000-0100-000000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25" name="Text Box 32">
          <a:extLst>
            <a:ext uri="{FF2B5EF4-FFF2-40B4-BE49-F238E27FC236}">
              <a16:creationId xmlns:a16="http://schemas.microsoft.com/office/drawing/2014/main" id="{00000000-0008-0000-0100-000001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26" name="Text Box 3">
          <a:extLst>
            <a:ext uri="{FF2B5EF4-FFF2-40B4-BE49-F238E27FC236}">
              <a16:creationId xmlns:a16="http://schemas.microsoft.com/office/drawing/2014/main" id="{00000000-0008-0000-0100-000002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27" name="Text Box 63">
          <a:extLst>
            <a:ext uri="{FF2B5EF4-FFF2-40B4-BE49-F238E27FC236}">
              <a16:creationId xmlns:a16="http://schemas.microsoft.com/office/drawing/2014/main" id="{00000000-0008-0000-0100-000003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28" name="Text Box 3">
          <a:extLst>
            <a:ext uri="{FF2B5EF4-FFF2-40B4-BE49-F238E27FC236}">
              <a16:creationId xmlns:a16="http://schemas.microsoft.com/office/drawing/2014/main" id="{00000000-0008-0000-0100-000004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29" name="Text Box 32">
          <a:extLst>
            <a:ext uri="{FF2B5EF4-FFF2-40B4-BE49-F238E27FC236}">
              <a16:creationId xmlns:a16="http://schemas.microsoft.com/office/drawing/2014/main" id="{00000000-0008-0000-0100-000005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30" name="Text Box 3">
          <a:extLst>
            <a:ext uri="{FF2B5EF4-FFF2-40B4-BE49-F238E27FC236}">
              <a16:creationId xmlns:a16="http://schemas.microsoft.com/office/drawing/2014/main" id="{00000000-0008-0000-0100-000006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31" name="Text Box 63">
          <a:extLst>
            <a:ext uri="{FF2B5EF4-FFF2-40B4-BE49-F238E27FC236}">
              <a16:creationId xmlns:a16="http://schemas.microsoft.com/office/drawing/2014/main" id="{00000000-0008-0000-0100-000007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32" name="Text Box 3">
          <a:extLst>
            <a:ext uri="{FF2B5EF4-FFF2-40B4-BE49-F238E27FC236}">
              <a16:creationId xmlns:a16="http://schemas.microsoft.com/office/drawing/2014/main" id="{00000000-0008-0000-0100-000008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33" name="Text Box 32">
          <a:extLst>
            <a:ext uri="{FF2B5EF4-FFF2-40B4-BE49-F238E27FC236}">
              <a16:creationId xmlns:a16="http://schemas.microsoft.com/office/drawing/2014/main" id="{00000000-0008-0000-0100-000009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34" name="Text Box 3">
          <a:extLst>
            <a:ext uri="{FF2B5EF4-FFF2-40B4-BE49-F238E27FC236}">
              <a16:creationId xmlns:a16="http://schemas.microsoft.com/office/drawing/2014/main" id="{00000000-0008-0000-0100-00000A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35" name="Text Box 63">
          <a:extLst>
            <a:ext uri="{FF2B5EF4-FFF2-40B4-BE49-F238E27FC236}">
              <a16:creationId xmlns:a16="http://schemas.microsoft.com/office/drawing/2014/main" id="{00000000-0008-0000-0100-00000B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36" name="Text Box 3">
          <a:extLst>
            <a:ext uri="{FF2B5EF4-FFF2-40B4-BE49-F238E27FC236}">
              <a16:creationId xmlns:a16="http://schemas.microsoft.com/office/drawing/2014/main" id="{00000000-0008-0000-0100-00000C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37" name="Text Box 32">
          <a:extLst>
            <a:ext uri="{FF2B5EF4-FFF2-40B4-BE49-F238E27FC236}">
              <a16:creationId xmlns:a16="http://schemas.microsoft.com/office/drawing/2014/main" id="{00000000-0008-0000-0100-00000D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38" name="Text Box 3">
          <a:extLst>
            <a:ext uri="{FF2B5EF4-FFF2-40B4-BE49-F238E27FC236}">
              <a16:creationId xmlns:a16="http://schemas.microsoft.com/office/drawing/2014/main" id="{00000000-0008-0000-0100-00000E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39" name="Text Box 63">
          <a:extLst>
            <a:ext uri="{FF2B5EF4-FFF2-40B4-BE49-F238E27FC236}">
              <a16:creationId xmlns:a16="http://schemas.microsoft.com/office/drawing/2014/main" id="{00000000-0008-0000-0100-00000F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40" name="Text Box 3">
          <a:extLst>
            <a:ext uri="{FF2B5EF4-FFF2-40B4-BE49-F238E27FC236}">
              <a16:creationId xmlns:a16="http://schemas.microsoft.com/office/drawing/2014/main" id="{00000000-0008-0000-0100-000010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41" name="Text Box 32">
          <a:extLst>
            <a:ext uri="{FF2B5EF4-FFF2-40B4-BE49-F238E27FC236}">
              <a16:creationId xmlns:a16="http://schemas.microsoft.com/office/drawing/2014/main" id="{00000000-0008-0000-0100-000011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42" name="Text Box 3">
          <a:extLst>
            <a:ext uri="{FF2B5EF4-FFF2-40B4-BE49-F238E27FC236}">
              <a16:creationId xmlns:a16="http://schemas.microsoft.com/office/drawing/2014/main" id="{00000000-0008-0000-0100-000012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43" name="Text Box 63">
          <a:extLst>
            <a:ext uri="{FF2B5EF4-FFF2-40B4-BE49-F238E27FC236}">
              <a16:creationId xmlns:a16="http://schemas.microsoft.com/office/drawing/2014/main" id="{00000000-0008-0000-0100-000013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44" name="Text Box 3">
          <a:extLst>
            <a:ext uri="{FF2B5EF4-FFF2-40B4-BE49-F238E27FC236}">
              <a16:creationId xmlns:a16="http://schemas.microsoft.com/office/drawing/2014/main" id="{00000000-0008-0000-0100-000014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45" name="Text Box 32">
          <a:extLst>
            <a:ext uri="{FF2B5EF4-FFF2-40B4-BE49-F238E27FC236}">
              <a16:creationId xmlns:a16="http://schemas.microsoft.com/office/drawing/2014/main" id="{00000000-0008-0000-0100-000015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46" name="Text Box 3">
          <a:extLst>
            <a:ext uri="{FF2B5EF4-FFF2-40B4-BE49-F238E27FC236}">
              <a16:creationId xmlns:a16="http://schemas.microsoft.com/office/drawing/2014/main" id="{00000000-0008-0000-0100-000016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47" name="Text Box 63">
          <a:extLst>
            <a:ext uri="{FF2B5EF4-FFF2-40B4-BE49-F238E27FC236}">
              <a16:creationId xmlns:a16="http://schemas.microsoft.com/office/drawing/2014/main" id="{00000000-0008-0000-0100-000017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48" name="Text Box 3">
          <a:extLst>
            <a:ext uri="{FF2B5EF4-FFF2-40B4-BE49-F238E27FC236}">
              <a16:creationId xmlns:a16="http://schemas.microsoft.com/office/drawing/2014/main" id="{00000000-0008-0000-0100-000018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49" name="Text Box 32">
          <a:extLst>
            <a:ext uri="{FF2B5EF4-FFF2-40B4-BE49-F238E27FC236}">
              <a16:creationId xmlns:a16="http://schemas.microsoft.com/office/drawing/2014/main" id="{00000000-0008-0000-0100-000019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50" name="Text Box 3">
          <a:extLst>
            <a:ext uri="{FF2B5EF4-FFF2-40B4-BE49-F238E27FC236}">
              <a16:creationId xmlns:a16="http://schemas.microsoft.com/office/drawing/2014/main" id="{00000000-0008-0000-0100-00001A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51" name="Text Box 63">
          <a:extLst>
            <a:ext uri="{FF2B5EF4-FFF2-40B4-BE49-F238E27FC236}">
              <a16:creationId xmlns:a16="http://schemas.microsoft.com/office/drawing/2014/main" id="{00000000-0008-0000-0100-00001B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52" name="Text Box 3">
          <a:extLst>
            <a:ext uri="{FF2B5EF4-FFF2-40B4-BE49-F238E27FC236}">
              <a16:creationId xmlns:a16="http://schemas.microsoft.com/office/drawing/2014/main" id="{00000000-0008-0000-0100-00001C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53" name="Text Box 32">
          <a:extLst>
            <a:ext uri="{FF2B5EF4-FFF2-40B4-BE49-F238E27FC236}">
              <a16:creationId xmlns:a16="http://schemas.microsoft.com/office/drawing/2014/main" id="{00000000-0008-0000-0100-00001D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54" name="Text Box 3">
          <a:extLst>
            <a:ext uri="{FF2B5EF4-FFF2-40B4-BE49-F238E27FC236}">
              <a16:creationId xmlns:a16="http://schemas.microsoft.com/office/drawing/2014/main" id="{00000000-0008-0000-0100-00001E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55" name="Text Box 63">
          <a:extLst>
            <a:ext uri="{FF2B5EF4-FFF2-40B4-BE49-F238E27FC236}">
              <a16:creationId xmlns:a16="http://schemas.microsoft.com/office/drawing/2014/main" id="{00000000-0008-0000-0100-00001F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56" name="Text Box 3">
          <a:extLst>
            <a:ext uri="{FF2B5EF4-FFF2-40B4-BE49-F238E27FC236}">
              <a16:creationId xmlns:a16="http://schemas.microsoft.com/office/drawing/2014/main" id="{00000000-0008-0000-0100-000020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57" name="Text Box 32">
          <a:extLst>
            <a:ext uri="{FF2B5EF4-FFF2-40B4-BE49-F238E27FC236}">
              <a16:creationId xmlns:a16="http://schemas.microsoft.com/office/drawing/2014/main" id="{00000000-0008-0000-0100-000021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58" name="Text Box 3">
          <a:extLst>
            <a:ext uri="{FF2B5EF4-FFF2-40B4-BE49-F238E27FC236}">
              <a16:creationId xmlns:a16="http://schemas.microsoft.com/office/drawing/2014/main" id="{00000000-0008-0000-0100-000022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59" name="Text Box 63">
          <a:extLst>
            <a:ext uri="{FF2B5EF4-FFF2-40B4-BE49-F238E27FC236}">
              <a16:creationId xmlns:a16="http://schemas.microsoft.com/office/drawing/2014/main" id="{00000000-0008-0000-0100-000023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60" name="Text Box 3">
          <a:extLst>
            <a:ext uri="{FF2B5EF4-FFF2-40B4-BE49-F238E27FC236}">
              <a16:creationId xmlns:a16="http://schemas.microsoft.com/office/drawing/2014/main" id="{00000000-0008-0000-0100-000024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61" name="Text Box 32">
          <a:extLst>
            <a:ext uri="{FF2B5EF4-FFF2-40B4-BE49-F238E27FC236}">
              <a16:creationId xmlns:a16="http://schemas.microsoft.com/office/drawing/2014/main" id="{00000000-0008-0000-0100-000025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62" name="Text Box 3">
          <a:extLst>
            <a:ext uri="{FF2B5EF4-FFF2-40B4-BE49-F238E27FC236}">
              <a16:creationId xmlns:a16="http://schemas.microsoft.com/office/drawing/2014/main" id="{00000000-0008-0000-0100-000026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63" name="Text Box 63">
          <a:extLst>
            <a:ext uri="{FF2B5EF4-FFF2-40B4-BE49-F238E27FC236}">
              <a16:creationId xmlns:a16="http://schemas.microsoft.com/office/drawing/2014/main" id="{00000000-0008-0000-0100-000027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64" name="Text Box 3">
          <a:extLst>
            <a:ext uri="{FF2B5EF4-FFF2-40B4-BE49-F238E27FC236}">
              <a16:creationId xmlns:a16="http://schemas.microsoft.com/office/drawing/2014/main" id="{00000000-0008-0000-0100-000028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65" name="Text Box 32">
          <a:extLst>
            <a:ext uri="{FF2B5EF4-FFF2-40B4-BE49-F238E27FC236}">
              <a16:creationId xmlns:a16="http://schemas.microsoft.com/office/drawing/2014/main" id="{00000000-0008-0000-0100-000029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66" name="Text Box 3">
          <a:extLst>
            <a:ext uri="{FF2B5EF4-FFF2-40B4-BE49-F238E27FC236}">
              <a16:creationId xmlns:a16="http://schemas.microsoft.com/office/drawing/2014/main" id="{00000000-0008-0000-0100-00002A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67" name="Text Box 63">
          <a:extLst>
            <a:ext uri="{FF2B5EF4-FFF2-40B4-BE49-F238E27FC236}">
              <a16:creationId xmlns:a16="http://schemas.microsoft.com/office/drawing/2014/main" id="{00000000-0008-0000-0100-00002B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68" name="Text Box 3">
          <a:extLst>
            <a:ext uri="{FF2B5EF4-FFF2-40B4-BE49-F238E27FC236}">
              <a16:creationId xmlns:a16="http://schemas.microsoft.com/office/drawing/2014/main" id="{00000000-0008-0000-0100-00002C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69" name="Text Box 32">
          <a:extLst>
            <a:ext uri="{FF2B5EF4-FFF2-40B4-BE49-F238E27FC236}">
              <a16:creationId xmlns:a16="http://schemas.microsoft.com/office/drawing/2014/main" id="{00000000-0008-0000-0100-00002D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70" name="Text Box 3">
          <a:extLst>
            <a:ext uri="{FF2B5EF4-FFF2-40B4-BE49-F238E27FC236}">
              <a16:creationId xmlns:a16="http://schemas.microsoft.com/office/drawing/2014/main" id="{00000000-0008-0000-0100-00002E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71" name="Text Box 63">
          <a:extLst>
            <a:ext uri="{FF2B5EF4-FFF2-40B4-BE49-F238E27FC236}">
              <a16:creationId xmlns:a16="http://schemas.microsoft.com/office/drawing/2014/main" id="{00000000-0008-0000-0100-00002F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72" name="Text Box 3">
          <a:extLst>
            <a:ext uri="{FF2B5EF4-FFF2-40B4-BE49-F238E27FC236}">
              <a16:creationId xmlns:a16="http://schemas.microsoft.com/office/drawing/2014/main" id="{00000000-0008-0000-0100-000030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73" name="Text Box 32">
          <a:extLst>
            <a:ext uri="{FF2B5EF4-FFF2-40B4-BE49-F238E27FC236}">
              <a16:creationId xmlns:a16="http://schemas.microsoft.com/office/drawing/2014/main" id="{00000000-0008-0000-0100-000031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74" name="Text Box 3">
          <a:extLst>
            <a:ext uri="{FF2B5EF4-FFF2-40B4-BE49-F238E27FC236}">
              <a16:creationId xmlns:a16="http://schemas.microsoft.com/office/drawing/2014/main" id="{00000000-0008-0000-0100-000032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75" name="Text Box 63">
          <a:extLst>
            <a:ext uri="{FF2B5EF4-FFF2-40B4-BE49-F238E27FC236}">
              <a16:creationId xmlns:a16="http://schemas.microsoft.com/office/drawing/2014/main" id="{00000000-0008-0000-0100-000033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76" name="Text Box 3">
          <a:extLst>
            <a:ext uri="{FF2B5EF4-FFF2-40B4-BE49-F238E27FC236}">
              <a16:creationId xmlns:a16="http://schemas.microsoft.com/office/drawing/2014/main" id="{00000000-0008-0000-0100-000034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77" name="Text Box 32">
          <a:extLst>
            <a:ext uri="{FF2B5EF4-FFF2-40B4-BE49-F238E27FC236}">
              <a16:creationId xmlns:a16="http://schemas.microsoft.com/office/drawing/2014/main" id="{00000000-0008-0000-0100-000035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78" name="Text Box 3">
          <a:extLst>
            <a:ext uri="{FF2B5EF4-FFF2-40B4-BE49-F238E27FC236}">
              <a16:creationId xmlns:a16="http://schemas.microsoft.com/office/drawing/2014/main" id="{00000000-0008-0000-0100-000036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79" name="Text Box 63">
          <a:extLst>
            <a:ext uri="{FF2B5EF4-FFF2-40B4-BE49-F238E27FC236}">
              <a16:creationId xmlns:a16="http://schemas.microsoft.com/office/drawing/2014/main" id="{00000000-0008-0000-0100-000037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80" name="Text Box 3">
          <a:extLst>
            <a:ext uri="{FF2B5EF4-FFF2-40B4-BE49-F238E27FC236}">
              <a16:creationId xmlns:a16="http://schemas.microsoft.com/office/drawing/2014/main" id="{00000000-0008-0000-0100-000038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81" name="Text Box 32">
          <a:extLst>
            <a:ext uri="{FF2B5EF4-FFF2-40B4-BE49-F238E27FC236}">
              <a16:creationId xmlns:a16="http://schemas.microsoft.com/office/drawing/2014/main" id="{00000000-0008-0000-0100-000039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82" name="Text Box 3">
          <a:extLst>
            <a:ext uri="{FF2B5EF4-FFF2-40B4-BE49-F238E27FC236}">
              <a16:creationId xmlns:a16="http://schemas.microsoft.com/office/drawing/2014/main" id="{00000000-0008-0000-0100-00003A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83" name="Text Box 63">
          <a:extLst>
            <a:ext uri="{FF2B5EF4-FFF2-40B4-BE49-F238E27FC236}">
              <a16:creationId xmlns:a16="http://schemas.microsoft.com/office/drawing/2014/main" id="{00000000-0008-0000-0100-00003B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84" name="Text Box 3">
          <a:extLst>
            <a:ext uri="{FF2B5EF4-FFF2-40B4-BE49-F238E27FC236}">
              <a16:creationId xmlns:a16="http://schemas.microsoft.com/office/drawing/2014/main" id="{00000000-0008-0000-0100-00003C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85" name="Text Box 32">
          <a:extLst>
            <a:ext uri="{FF2B5EF4-FFF2-40B4-BE49-F238E27FC236}">
              <a16:creationId xmlns:a16="http://schemas.microsoft.com/office/drawing/2014/main" id="{00000000-0008-0000-0100-00003D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86" name="Text Box 3">
          <a:extLst>
            <a:ext uri="{FF2B5EF4-FFF2-40B4-BE49-F238E27FC236}">
              <a16:creationId xmlns:a16="http://schemas.microsoft.com/office/drawing/2014/main" id="{00000000-0008-0000-0100-00003E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87" name="Text Box 63">
          <a:extLst>
            <a:ext uri="{FF2B5EF4-FFF2-40B4-BE49-F238E27FC236}">
              <a16:creationId xmlns:a16="http://schemas.microsoft.com/office/drawing/2014/main" id="{00000000-0008-0000-0100-00003F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88" name="Text Box 3">
          <a:extLst>
            <a:ext uri="{FF2B5EF4-FFF2-40B4-BE49-F238E27FC236}">
              <a16:creationId xmlns:a16="http://schemas.microsoft.com/office/drawing/2014/main" id="{00000000-0008-0000-0100-000040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89" name="Text Box 32">
          <a:extLst>
            <a:ext uri="{FF2B5EF4-FFF2-40B4-BE49-F238E27FC236}">
              <a16:creationId xmlns:a16="http://schemas.microsoft.com/office/drawing/2014/main" id="{00000000-0008-0000-0100-000041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90" name="Text Box 3">
          <a:extLst>
            <a:ext uri="{FF2B5EF4-FFF2-40B4-BE49-F238E27FC236}">
              <a16:creationId xmlns:a16="http://schemas.microsoft.com/office/drawing/2014/main" id="{00000000-0008-0000-0100-000042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91" name="Text Box 63">
          <a:extLst>
            <a:ext uri="{FF2B5EF4-FFF2-40B4-BE49-F238E27FC236}">
              <a16:creationId xmlns:a16="http://schemas.microsoft.com/office/drawing/2014/main" id="{00000000-0008-0000-0100-000043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92" name="Text Box 3">
          <a:extLst>
            <a:ext uri="{FF2B5EF4-FFF2-40B4-BE49-F238E27FC236}">
              <a16:creationId xmlns:a16="http://schemas.microsoft.com/office/drawing/2014/main" id="{00000000-0008-0000-0100-000044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93" name="Text Box 32">
          <a:extLst>
            <a:ext uri="{FF2B5EF4-FFF2-40B4-BE49-F238E27FC236}">
              <a16:creationId xmlns:a16="http://schemas.microsoft.com/office/drawing/2014/main" id="{00000000-0008-0000-0100-000045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94" name="Text Box 3">
          <a:extLst>
            <a:ext uri="{FF2B5EF4-FFF2-40B4-BE49-F238E27FC236}">
              <a16:creationId xmlns:a16="http://schemas.microsoft.com/office/drawing/2014/main" id="{00000000-0008-0000-0100-000046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95" name="Text Box 63">
          <a:extLst>
            <a:ext uri="{FF2B5EF4-FFF2-40B4-BE49-F238E27FC236}">
              <a16:creationId xmlns:a16="http://schemas.microsoft.com/office/drawing/2014/main" id="{00000000-0008-0000-0100-000047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96" name="Text Box 3">
          <a:extLst>
            <a:ext uri="{FF2B5EF4-FFF2-40B4-BE49-F238E27FC236}">
              <a16:creationId xmlns:a16="http://schemas.microsoft.com/office/drawing/2014/main" id="{00000000-0008-0000-0100-000048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97" name="Text Box 32">
          <a:extLst>
            <a:ext uri="{FF2B5EF4-FFF2-40B4-BE49-F238E27FC236}">
              <a16:creationId xmlns:a16="http://schemas.microsoft.com/office/drawing/2014/main" id="{00000000-0008-0000-0100-000049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098" name="Text Box 3">
          <a:extLst>
            <a:ext uri="{FF2B5EF4-FFF2-40B4-BE49-F238E27FC236}">
              <a16:creationId xmlns:a16="http://schemas.microsoft.com/office/drawing/2014/main" id="{00000000-0008-0000-0100-00004A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099" name="Text Box 63">
          <a:extLst>
            <a:ext uri="{FF2B5EF4-FFF2-40B4-BE49-F238E27FC236}">
              <a16:creationId xmlns:a16="http://schemas.microsoft.com/office/drawing/2014/main" id="{00000000-0008-0000-0100-00004B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00" name="Text Box 3">
          <a:extLst>
            <a:ext uri="{FF2B5EF4-FFF2-40B4-BE49-F238E27FC236}">
              <a16:creationId xmlns:a16="http://schemas.microsoft.com/office/drawing/2014/main" id="{00000000-0008-0000-0100-00004C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01" name="Text Box 32">
          <a:extLst>
            <a:ext uri="{FF2B5EF4-FFF2-40B4-BE49-F238E27FC236}">
              <a16:creationId xmlns:a16="http://schemas.microsoft.com/office/drawing/2014/main" id="{00000000-0008-0000-0100-00004D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02" name="Text Box 3">
          <a:extLst>
            <a:ext uri="{FF2B5EF4-FFF2-40B4-BE49-F238E27FC236}">
              <a16:creationId xmlns:a16="http://schemas.microsoft.com/office/drawing/2014/main" id="{00000000-0008-0000-0100-00004E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03" name="Text Box 63">
          <a:extLst>
            <a:ext uri="{FF2B5EF4-FFF2-40B4-BE49-F238E27FC236}">
              <a16:creationId xmlns:a16="http://schemas.microsoft.com/office/drawing/2014/main" id="{00000000-0008-0000-0100-00004F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04" name="Text Box 3">
          <a:extLst>
            <a:ext uri="{FF2B5EF4-FFF2-40B4-BE49-F238E27FC236}">
              <a16:creationId xmlns:a16="http://schemas.microsoft.com/office/drawing/2014/main" id="{00000000-0008-0000-0100-000050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05" name="Text Box 32">
          <a:extLst>
            <a:ext uri="{FF2B5EF4-FFF2-40B4-BE49-F238E27FC236}">
              <a16:creationId xmlns:a16="http://schemas.microsoft.com/office/drawing/2014/main" id="{00000000-0008-0000-0100-000051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06" name="Text Box 3">
          <a:extLst>
            <a:ext uri="{FF2B5EF4-FFF2-40B4-BE49-F238E27FC236}">
              <a16:creationId xmlns:a16="http://schemas.microsoft.com/office/drawing/2014/main" id="{00000000-0008-0000-0100-000052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07" name="Text Box 63">
          <a:extLst>
            <a:ext uri="{FF2B5EF4-FFF2-40B4-BE49-F238E27FC236}">
              <a16:creationId xmlns:a16="http://schemas.microsoft.com/office/drawing/2014/main" id="{00000000-0008-0000-0100-000053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08" name="Text Box 3">
          <a:extLst>
            <a:ext uri="{FF2B5EF4-FFF2-40B4-BE49-F238E27FC236}">
              <a16:creationId xmlns:a16="http://schemas.microsoft.com/office/drawing/2014/main" id="{00000000-0008-0000-0100-000054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09" name="Text Box 32">
          <a:extLst>
            <a:ext uri="{FF2B5EF4-FFF2-40B4-BE49-F238E27FC236}">
              <a16:creationId xmlns:a16="http://schemas.microsoft.com/office/drawing/2014/main" id="{00000000-0008-0000-0100-000055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10" name="Text Box 3">
          <a:extLst>
            <a:ext uri="{FF2B5EF4-FFF2-40B4-BE49-F238E27FC236}">
              <a16:creationId xmlns:a16="http://schemas.microsoft.com/office/drawing/2014/main" id="{00000000-0008-0000-0100-000056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11" name="Text Box 63">
          <a:extLst>
            <a:ext uri="{FF2B5EF4-FFF2-40B4-BE49-F238E27FC236}">
              <a16:creationId xmlns:a16="http://schemas.microsoft.com/office/drawing/2014/main" id="{00000000-0008-0000-0100-000057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12" name="Text Box 3">
          <a:extLst>
            <a:ext uri="{FF2B5EF4-FFF2-40B4-BE49-F238E27FC236}">
              <a16:creationId xmlns:a16="http://schemas.microsoft.com/office/drawing/2014/main" id="{00000000-0008-0000-0100-000058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13" name="Text Box 32">
          <a:extLst>
            <a:ext uri="{FF2B5EF4-FFF2-40B4-BE49-F238E27FC236}">
              <a16:creationId xmlns:a16="http://schemas.microsoft.com/office/drawing/2014/main" id="{00000000-0008-0000-0100-000059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14" name="Text Box 3">
          <a:extLst>
            <a:ext uri="{FF2B5EF4-FFF2-40B4-BE49-F238E27FC236}">
              <a16:creationId xmlns:a16="http://schemas.microsoft.com/office/drawing/2014/main" id="{00000000-0008-0000-0100-00005A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15" name="Text Box 63">
          <a:extLst>
            <a:ext uri="{FF2B5EF4-FFF2-40B4-BE49-F238E27FC236}">
              <a16:creationId xmlns:a16="http://schemas.microsoft.com/office/drawing/2014/main" id="{00000000-0008-0000-0100-00005B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16" name="Text Box 3">
          <a:extLst>
            <a:ext uri="{FF2B5EF4-FFF2-40B4-BE49-F238E27FC236}">
              <a16:creationId xmlns:a16="http://schemas.microsoft.com/office/drawing/2014/main" id="{00000000-0008-0000-0100-00005C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17" name="Text Box 32">
          <a:extLst>
            <a:ext uri="{FF2B5EF4-FFF2-40B4-BE49-F238E27FC236}">
              <a16:creationId xmlns:a16="http://schemas.microsoft.com/office/drawing/2014/main" id="{00000000-0008-0000-0100-00005D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18" name="Text Box 3">
          <a:extLst>
            <a:ext uri="{FF2B5EF4-FFF2-40B4-BE49-F238E27FC236}">
              <a16:creationId xmlns:a16="http://schemas.microsoft.com/office/drawing/2014/main" id="{00000000-0008-0000-0100-00005E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19" name="Text Box 63">
          <a:extLst>
            <a:ext uri="{FF2B5EF4-FFF2-40B4-BE49-F238E27FC236}">
              <a16:creationId xmlns:a16="http://schemas.microsoft.com/office/drawing/2014/main" id="{00000000-0008-0000-0100-00005F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20" name="Text Box 3">
          <a:extLst>
            <a:ext uri="{FF2B5EF4-FFF2-40B4-BE49-F238E27FC236}">
              <a16:creationId xmlns:a16="http://schemas.microsoft.com/office/drawing/2014/main" id="{00000000-0008-0000-0100-000060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21" name="Text Box 32">
          <a:extLst>
            <a:ext uri="{FF2B5EF4-FFF2-40B4-BE49-F238E27FC236}">
              <a16:creationId xmlns:a16="http://schemas.microsoft.com/office/drawing/2014/main" id="{00000000-0008-0000-0100-000061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22" name="Text Box 3">
          <a:extLst>
            <a:ext uri="{FF2B5EF4-FFF2-40B4-BE49-F238E27FC236}">
              <a16:creationId xmlns:a16="http://schemas.microsoft.com/office/drawing/2014/main" id="{00000000-0008-0000-0100-000062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23" name="Text Box 63">
          <a:extLst>
            <a:ext uri="{FF2B5EF4-FFF2-40B4-BE49-F238E27FC236}">
              <a16:creationId xmlns:a16="http://schemas.microsoft.com/office/drawing/2014/main" id="{00000000-0008-0000-0100-000063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24" name="Text Box 3">
          <a:extLst>
            <a:ext uri="{FF2B5EF4-FFF2-40B4-BE49-F238E27FC236}">
              <a16:creationId xmlns:a16="http://schemas.microsoft.com/office/drawing/2014/main" id="{00000000-0008-0000-0100-000064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25" name="Text Box 32">
          <a:extLst>
            <a:ext uri="{FF2B5EF4-FFF2-40B4-BE49-F238E27FC236}">
              <a16:creationId xmlns:a16="http://schemas.microsoft.com/office/drawing/2014/main" id="{00000000-0008-0000-0100-000065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26" name="Text Box 3">
          <a:extLst>
            <a:ext uri="{FF2B5EF4-FFF2-40B4-BE49-F238E27FC236}">
              <a16:creationId xmlns:a16="http://schemas.microsoft.com/office/drawing/2014/main" id="{00000000-0008-0000-0100-000066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27" name="Text Box 63">
          <a:extLst>
            <a:ext uri="{FF2B5EF4-FFF2-40B4-BE49-F238E27FC236}">
              <a16:creationId xmlns:a16="http://schemas.microsoft.com/office/drawing/2014/main" id="{00000000-0008-0000-0100-000067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28" name="Text Box 3">
          <a:extLst>
            <a:ext uri="{FF2B5EF4-FFF2-40B4-BE49-F238E27FC236}">
              <a16:creationId xmlns:a16="http://schemas.microsoft.com/office/drawing/2014/main" id="{00000000-0008-0000-0100-000068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29" name="Text Box 32">
          <a:extLst>
            <a:ext uri="{FF2B5EF4-FFF2-40B4-BE49-F238E27FC236}">
              <a16:creationId xmlns:a16="http://schemas.microsoft.com/office/drawing/2014/main" id="{00000000-0008-0000-0100-000069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30" name="Text Box 3">
          <a:extLst>
            <a:ext uri="{FF2B5EF4-FFF2-40B4-BE49-F238E27FC236}">
              <a16:creationId xmlns:a16="http://schemas.microsoft.com/office/drawing/2014/main" id="{00000000-0008-0000-0100-00006A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31" name="Text Box 63">
          <a:extLst>
            <a:ext uri="{FF2B5EF4-FFF2-40B4-BE49-F238E27FC236}">
              <a16:creationId xmlns:a16="http://schemas.microsoft.com/office/drawing/2014/main" id="{00000000-0008-0000-0100-00006B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32" name="Text Box 3">
          <a:extLst>
            <a:ext uri="{FF2B5EF4-FFF2-40B4-BE49-F238E27FC236}">
              <a16:creationId xmlns:a16="http://schemas.microsoft.com/office/drawing/2014/main" id="{00000000-0008-0000-0100-00006C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33" name="Text Box 32">
          <a:extLst>
            <a:ext uri="{FF2B5EF4-FFF2-40B4-BE49-F238E27FC236}">
              <a16:creationId xmlns:a16="http://schemas.microsoft.com/office/drawing/2014/main" id="{00000000-0008-0000-0100-00006D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34" name="Text Box 3">
          <a:extLst>
            <a:ext uri="{FF2B5EF4-FFF2-40B4-BE49-F238E27FC236}">
              <a16:creationId xmlns:a16="http://schemas.microsoft.com/office/drawing/2014/main" id="{00000000-0008-0000-0100-00006E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35" name="Text Box 63">
          <a:extLst>
            <a:ext uri="{FF2B5EF4-FFF2-40B4-BE49-F238E27FC236}">
              <a16:creationId xmlns:a16="http://schemas.microsoft.com/office/drawing/2014/main" id="{00000000-0008-0000-0100-00006F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36" name="Text Box 3">
          <a:extLst>
            <a:ext uri="{FF2B5EF4-FFF2-40B4-BE49-F238E27FC236}">
              <a16:creationId xmlns:a16="http://schemas.microsoft.com/office/drawing/2014/main" id="{00000000-0008-0000-0100-000070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37" name="Text Box 32">
          <a:extLst>
            <a:ext uri="{FF2B5EF4-FFF2-40B4-BE49-F238E27FC236}">
              <a16:creationId xmlns:a16="http://schemas.microsoft.com/office/drawing/2014/main" id="{00000000-0008-0000-0100-000071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38" name="Text Box 3">
          <a:extLst>
            <a:ext uri="{FF2B5EF4-FFF2-40B4-BE49-F238E27FC236}">
              <a16:creationId xmlns:a16="http://schemas.microsoft.com/office/drawing/2014/main" id="{00000000-0008-0000-0100-000072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39" name="Text Box 63">
          <a:extLst>
            <a:ext uri="{FF2B5EF4-FFF2-40B4-BE49-F238E27FC236}">
              <a16:creationId xmlns:a16="http://schemas.microsoft.com/office/drawing/2014/main" id="{00000000-0008-0000-0100-000073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40" name="Text Box 3">
          <a:extLst>
            <a:ext uri="{FF2B5EF4-FFF2-40B4-BE49-F238E27FC236}">
              <a16:creationId xmlns:a16="http://schemas.microsoft.com/office/drawing/2014/main" id="{00000000-0008-0000-0100-000074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41" name="Text Box 32">
          <a:extLst>
            <a:ext uri="{FF2B5EF4-FFF2-40B4-BE49-F238E27FC236}">
              <a16:creationId xmlns:a16="http://schemas.microsoft.com/office/drawing/2014/main" id="{00000000-0008-0000-0100-000075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42" name="Text Box 3">
          <a:extLst>
            <a:ext uri="{FF2B5EF4-FFF2-40B4-BE49-F238E27FC236}">
              <a16:creationId xmlns:a16="http://schemas.microsoft.com/office/drawing/2014/main" id="{00000000-0008-0000-0100-000076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43" name="Text Box 63">
          <a:extLst>
            <a:ext uri="{FF2B5EF4-FFF2-40B4-BE49-F238E27FC236}">
              <a16:creationId xmlns:a16="http://schemas.microsoft.com/office/drawing/2014/main" id="{00000000-0008-0000-0100-000077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44" name="Text Box 32">
          <a:extLst>
            <a:ext uri="{FF2B5EF4-FFF2-40B4-BE49-F238E27FC236}">
              <a16:creationId xmlns:a16="http://schemas.microsoft.com/office/drawing/2014/main" id="{00000000-0008-0000-0100-000078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45" name="Text Box 3">
          <a:extLst>
            <a:ext uri="{FF2B5EF4-FFF2-40B4-BE49-F238E27FC236}">
              <a16:creationId xmlns:a16="http://schemas.microsoft.com/office/drawing/2014/main" id="{00000000-0008-0000-0100-000079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46" name="Text Box 63">
          <a:extLst>
            <a:ext uri="{FF2B5EF4-FFF2-40B4-BE49-F238E27FC236}">
              <a16:creationId xmlns:a16="http://schemas.microsoft.com/office/drawing/2014/main" id="{00000000-0008-0000-0100-00007A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47" name="Text Box 3">
          <a:extLst>
            <a:ext uri="{FF2B5EF4-FFF2-40B4-BE49-F238E27FC236}">
              <a16:creationId xmlns:a16="http://schemas.microsoft.com/office/drawing/2014/main" id="{00000000-0008-0000-0100-00007B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48" name="Text Box 32">
          <a:extLst>
            <a:ext uri="{FF2B5EF4-FFF2-40B4-BE49-F238E27FC236}">
              <a16:creationId xmlns:a16="http://schemas.microsoft.com/office/drawing/2014/main" id="{00000000-0008-0000-0100-00007C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49" name="Text Box 3">
          <a:extLst>
            <a:ext uri="{FF2B5EF4-FFF2-40B4-BE49-F238E27FC236}">
              <a16:creationId xmlns:a16="http://schemas.microsoft.com/office/drawing/2014/main" id="{00000000-0008-0000-0100-00007D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50" name="Text Box 63">
          <a:extLst>
            <a:ext uri="{FF2B5EF4-FFF2-40B4-BE49-F238E27FC236}">
              <a16:creationId xmlns:a16="http://schemas.microsoft.com/office/drawing/2014/main" id="{00000000-0008-0000-0100-00007E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51" name="Text Box 3">
          <a:extLst>
            <a:ext uri="{FF2B5EF4-FFF2-40B4-BE49-F238E27FC236}">
              <a16:creationId xmlns:a16="http://schemas.microsoft.com/office/drawing/2014/main" id="{00000000-0008-0000-0100-00007F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52" name="Text Box 32">
          <a:extLst>
            <a:ext uri="{FF2B5EF4-FFF2-40B4-BE49-F238E27FC236}">
              <a16:creationId xmlns:a16="http://schemas.microsoft.com/office/drawing/2014/main" id="{00000000-0008-0000-0100-000080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53" name="Text Box 3">
          <a:extLst>
            <a:ext uri="{FF2B5EF4-FFF2-40B4-BE49-F238E27FC236}">
              <a16:creationId xmlns:a16="http://schemas.microsoft.com/office/drawing/2014/main" id="{00000000-0008-0000-0100-000081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54" name="Text Box 63">
          <a:extLst>
            <a:ext uri="{FF2B5EF4-FFF2-40B4-BE49-F238E27FC236}">
              <a16:creationId xmlns:a16="http://schemas.microsoft.com/office/drawing/2014/main" id="{00000000-0008-0000-0100-000082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55" name="Text Box 3">
          <a:extLst>
            <a:ext uri="{FF2B5EF4-FFF2-40B4-BE49-F238E27FC236}">
              <a16:creationId xmlns:a16="http://schemas.microsoft.com/office/drawing/2014/main" id="{00000000-0008-0000-0100-000083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56" name="Text Box 32">
          <a:extLst>
            <a:ext uri="{FF2B5EF4-FFF2-40B4-BE49-F238E27FC236}">
              <a16:creationId xmlns:a16="http://schemas.microsoft.com/office/drawing/2014/main" id="{00000000-0008-0000-0100-000084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57" name="Text Box 3">
          <a:extLst>
            <a:ext uri="{FF2B5EF4-FFF2-40B4-BE49-F238E27FC236}">
              <a16:creationId xmlns:a16="http://schemas.microsoft.com/office/drawing/2014/main" id="{00000000-0008-0000-0100-000085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58" name="Text Box 63">
          <a:extLst>
            <a:ext uri="{FF2B5EF4-FFF2-40B4-BE49-F238E27FC236}">
              <a16:creationId xmlns:a16="http://schemas.microsoft.com/office/drawing/2014/main" id="{00000000-0008-0000-0100-000086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59" name="Text Box 3">
          <a:extLst>
            <a:ext uri="{FF2B5EF4-FFF2-40B4-BE49-F238E27FC236}">
              <a16:creationId xmlns:a16="http://schemas.microsoft.com/office/drawing/2014/main" id="{00000000-0008-0000-0100-000087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60" name="Text Box 32">
          <a:extLst>
            <a:ext uri="{FF2B5EF4-FFF2-40B4-BE49-F238E27FC236}">
              <a16:creationId xmlns:a16="http://schemas.microsoft.com/office/drawing/2014/main" id="{00000000-0008-0000-0100-000088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61" name="Text Box 3">
          <a:extLst>
            <a:ext uri="{FF2B5EF4-FFF2-40B4-BE49-F238E27FC236}">
              <a16:creationId xmlns:a16="http://schemas.microsoft.com/office/drawing/2014/main" id="{00000000-0008-0000-0100-000089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62" name="Text Box 63">
          <a:extLst>
            <a:ext uri="{FF2B5EF4-FFF2-40B4-BE49-F238E27FC236}">
              <a16:creationId xmlns:a16="http://schemas.microsoft.com/office/drawing/2014/main" id="{00000000-0008-0000-0100-00008A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63" name="Text Box 3">
          <a:extLst>
            <a:ext uri="{FF2B5EF4-FFF2-40B4-BE49-F238E27FC236}">
              <a16:creationId xmlns:a16="http://schemas.microsoft.com/office/drawing/2014/main" id="{00000000-0008-0000-0100-00008B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64" name="Text Box 32">
          <a:extLst>
            <a:ext uri="{FF2B5EF4-FFF2-40B4-BE49-F238E27FC236}">
              <a16:creationId xmlns:a16="http://schemas.microsoft.com/office/drawing/2014/main" id="{00000000-0008-0000-0100-00008C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65" name="Text Box 3">
          <a:extLst>
            <a:ext uri="{FF2B5EF4-FFF2-40B4-BE49-F238E27FC236}">
              <a16:creationId xmlns:a16="http://schemas.microsoft.com/office/drawing/2014/main" id="{00000000-0008-0000-0100-00008D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66" name="Text Box 63">
          <a:extLst>
            <a:ext uri="{FF2B5EF4-FFF2-40B4-BE49-F238E27FC236}">
              <a16:creationId xmlns:a16="http://schemas.microsoft.com/office/drawing/2014/main" id="{00000000-0008-0000-0100-00008E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67" name="Text Box 3">
          <a:extLst>
            <a:ext uri="{FF2B5EF4-FFF2-40B4-BE49-F238E27FC236}">
              <a16:creationId xmlns:a16="http://schemas.microsoft.com/office/drawing/2014/main" id="{00000000-0008-0000-0100-00008F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68" name="Text Box 32">
          <a:extLst>
            <a:ext uri="{FF2B5EF4-FFF2-40B4-BE49-F238E27FC236}">
              <a16:creationId xmlns:a16="http://schemas.microsoft.com/office/drawing/2014/main" id="{00000000-0008-0000-0100-000090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69" name="Text Box 3">
          <a:extLst>
            <a:ext uri="{FF2B5EF4-FFF2-40B4-BE49-F238E27FC236}">
              <a16:creationId xmlns:a16="http://schemas.microsoft.com/office/drawing/2014/main" id="{00000000-0008-0000-0100-000091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70" name="Text Box 63">
          <a:extLst>
            <a:ext uri="{FF2B5EF4-FFF2-40B4-BE49-F238E27FC236}">
              <a16:creationId xmlns:a16="http://schemas.microsoft.com/office/drawing/2014/main" id="{00000000-0008-0000-0100-000092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71" name="Text Box 3">
          <a:extLst>
            <a:ext uri="{FF2B5EF4-FFF2-40B4-BE49-F238E27FC236}">
              <a16:creationId xmlns:a16="http://schemas.microsoft.com/office/drawing/2014/main" id="{00000000-0008-0000-0100-000093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72" name="Text Box 32">
          <a:extLst>
            <a:ext uri="{FF2B5EF4-FFF2-40B4-BE49-F238E27FC236}">
              <a16:creationId xmlns:a16="http://schemas.microsoft.com/office/drawing/2014/main" id="{00000000-0008-0000-0100-000094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73" name="Text Box 3">
          <a:extLst>
            <a:ext uri="{FF2B5EF4-FFF2-40B4-BE49-F238E27FC236}">
              <a16:creationId xmlns:a16="http://schemas.microsoft.com/office/drawing/2014/main" id="{00000000-0008-0000-0100-000095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74" name="Text Box 63">
          <a:extLst>
            <a:ext uri="{FF2B5EF4-FFF2-40B4-BE49-F238E27FC236}">
              <a16:creationId xmlns:a16="http://schemas.microsoft.com/office/drawing/2014/main" id="{00000000-0008-0000-0100-000096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75" name="Text Box 3">
          <a:extLst>
            <a:ext uri="{FF2B5EF4-FFF2-40B4-BE49-F238E27FC236}">
              <a16:creationId xmlns:a16="http://schemas.microsoft.com/office/drawing/2014/main" id="{00000000-0008-0000-0100-000097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76" name="Text Box 32">
          <a:extLst>
            <a:ext uri="{FF2B5EF4-FFF2-40B4-BE49-F238E27FC236}">
              <a16:creationId xmlns:a16="http://schemas.microsoft.com/office/drawing/2014/main" id="{00000000-0008-0000-0100-000098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77" name="Text Box 3">
          <a:extLst>
            <a:ext uri="{FF2B5EF4-FFF2-40B4-BE49-F238E27FC236}">
              <a16:creationId xmlns:a16="http://schemas.microsoft.com/office/drawing/2014/main" id="{00000000-0008-0000-0100-000099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78" name="Text Box 63">
          <a:extLst>
            <a:ext uri="{FF2B5EF4-FFF2-40B4-BE49-F238E27FC236}">
              <a16:creationId xmlns:a16="http://schemas.microsoft.com/office/drawing/2014/main" id="{00000000-0008-0000-0100-00009A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79" name="Text Box 3">
          <a:extLst>
            <a:ext uri="{FF2B5EF4-FFF2-40B4-BE49-F238E27FC236}">
              <a16:creationId xmlns:a16="http://schemas.microsoft.com/office/drawing/2014/main" id="{00000000-0008-0000-0100-00009B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80" name="Text Box 32">
          <a:extLst>
            <a:ext uri="{FF2B5EF4-FFF2-40B4-BE49-F238E27FC236}">
              <a16:creationId xmlns:a16="http://schemas.microsoft.com/office/drawing/2014/main" id="{00000000-0008-0000-0100-00009C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81" name="Text Box 3">
          <a:extLst>
            <a:ext uri="{FF2B5EF4-FFF2-40B4-BE49-F238E27FC236}">
              <a16:creationId xmlns:a16="http://schemas.microsoft.com/office/drawing/2014/main" id="{00000000-0008-0000-0100-00009D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82" name="Text Box 63">
          <a:extLst>
            <a:ext uri="{FF2B5EF4-FFF2-40B4-BE49-F238E27FC236}">
              <a16:creationId xmlns:a16="http://schemas.microsoft.com/office/drawing/2014/main" id="{00000000-0008-0000-0100-00009E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83" name="Text Box 3">
          <a:extLst>
            <a:ext uri="{FF2B5EF4-FFF2-40B4-BE49-F238E27FC236}">
              <a16:creationId xmlns:a16="http://schemas.microsoft.com/office/drawing/2014/main" id="{00000000-0008-0000-0100-00009F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84" name="Text Box 32">
          <a:extLst>
            <a:ext uri="{FF2B5EF4-FFF2-40B4-BE49-F238E27FC236}">
              <a16:creationId xmlns:a16="http://schemas.microsoft.com/office/drawing/2014/main" id="{00000000-0008-0000-0100-0000A0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85" name="Text Box 3">
          <a:extLst>
            <a:ext uri="{FF2B5EF4-FFF2-40B4-BE49-F238E27FC236}">
              <a16:creationId xmlns:a16="http://schemas.microsoft.com/office/drawing/2014/main" id="{00000000-0008-0000-0100-0000A1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86" name="Text Box 63">
          <a:extLst>
            <a:ext uri="{FF2B5EF4-FFF2-40B4-BE49-F238E27FC236}">
              <a16:creationId xmlns:a16="http://schemas.microsoft.com/office/drawing/2014/main" id="{00000000-0008-0000-0100-0000A2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87" name="Text Box 3">
          <a:extLst>
            <a:ext uri="{FF2B5EF4-FFF2-40B4-BE49-F238E27FC236}">
              <a16:creationId xmlns:a16="http://schemas.microsoft.com/office/drawing/2014/main" id="{00000000-0008-0000-0100-0000A3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88" name="Text Box 32">
          <a:extLst>
            <a:ext uri="{FF2B5EF4-FFF2-40B4-BE49-F238E27FC236}">
              <a16:creationId xmlns:a16="http://schemas.microsoft.com/office/drawing/2014/main" id="{00000000-0008-0000-0100-0000A4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89" name="Text Box 3">
          <a:extLst>
            <a:ext uri="{FF2B5EF4-FFF2-40B4-BE49-F238E27FC236}">
              <a16:creationId xmlns:a16="http://schemas.microsoft.com/office/drawing/2014/main" id="{00000000-0008-0000-0100-0000A5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90" name="Text Box 63">
          <a:extLst>
            <a:ext uri="{FF2B5EF4-FFF2-40B4-BE49-F238E27FC236}">
              <a16:creationId xmlns:a16="http://schemas.microsoft.com/office/drawing/2014/main" id="{00000000-0008-0000-0100-0000A6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91" name="Text Box 3">
          <a:extLst>
            <a:ext uri="{FF2B5EF4-FFF2-40B4-BE49-F238E27FC236}">
              <a16:creationId xmlns:a16="http://schemas.microsoft.com/office/drawing/2014/main" id="{00000000-0008-0000-0100-0000A7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92" name="Text Box 32">
          <a:extLst>
            <a:ext uri="{FF2B5EF4-FFF2-40B4-BE49-F238E27FC236}">
              <a16:creationId xmlns:a16="http://schemas.microsoft.com/office/drawing/2014/main" id="{00000000-0008-0000-0100-0000A8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93" name="Text Box 3">
          <a:extLst>
            <a:ext uri="{FF2B5EF4-FFF2-40B4-BE49-F238E27FC236}">
              <a16:creationId xmlns:a16="http://schemas.microsoft.com/office/drawing/2014/main" id="{00000000-0008-0000-0100-0000A9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94" name="Text Box 63">
          <a:extLst>
            <a:ext uri="{FF2B5EF4-FFF2-40B4-BE49-F238E27FC236}">
              <a16:creationId xmlns:a16="http://schemas.microsoft.com/office/drawing/2014/main" id="{00000000-0008-0000-0100-0000AA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95" name="Text Box 3">
          <a:extLst>
            <a:ext uri="{FF2B5EF4-FFF2-40B4-BE49-F238E27FC236}">
              <a16:creationId xmlns:a16="http://schemas.microsoft.com/office/drawing/2014/main" id="{00000000-0008-0000-0100-0000AB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96" name="Text Box 32">
          <a:extLst>
            <a:ext uri="{FF2B5EF4-FFF2-40B4-BE49-F238E27FC236}">
              <a16:creationId xmlns:a16="http://schemas.microsoft.com/office/drawing/2014/main" id="{00000000-0008-0000-0100-0000AC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97" name="Text Box 3">
          <a:extLst>
            <a:ext uri="{FF2B5EF4-FFF2-40B4-BE49-F238E27FC236}">
              <a16:creationId xmlns:a16="http://schemas.microsoft.com/office/drawing/2014/main" id="{00000000-0008-0000-0100-0000AD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198" name="Text Box 63">
          <a:extLst>
            <a:ext uri="{FF2B5EF4-FFF2-40B4-BE49-F238E27FC236}">
              <a16:creationId xmlns:a16="http://schemas.microsoft.com/office/drawing/2014/main" id="{00000000-0008-0000-0100-0000AE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199" name="Text Box 3">
          <a:extLst>
            <a:ext uri="{FF2B5EF4-FFF2-40B4-BE49-F238E27FC236}">
              <a16:creationId xmlns:a16="http://schemas.microsoft.com/office/drawing/2014/main" id="{00000000-0008-0000-0100-0000AF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00" name="Text Box 32">
          <a:extLst>
            <a:ext uri="{FF2B5EF4-FFF2-40B4-BE49-F238E27FC236}">
              <a16:creationId xmlns:a16="http://schemas.microsoft.com/office/drawing/2014/main" id="{00000000-0008-0000-0100-0000B0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01" name="Text Box 3">
          <a:extLst>
            <a:ext uri="{FF2B5EF4-FFF2-40B4-BE49-F238E27FC236}">
              <a16:creationId xmlns:a16="http://schemas.microsoft.com/office/drawing/2014/main" id="{00000000-0008-0000-0100-0000B1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02" name="Text Box 63">
          <a:extLst>
            <a:ext uri="{FF2B5EF4-FFF2-40B4-BE49-F238E27FC236}">
              <a16:creationId xmlns:a16="http://schemas.microsoft.com/office/drawing/2014/main" id="{00000000-0008-0000-0100-0000B2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03" name="Text Box 3">
          <a:extLst>
            <a:ext uri="{FF2B5EF4-FFF2-40B4-BE49-F238E27FC236}">
              <a16:creationId xmlns:a16="http://schemas.microsoft.com/office/drawing/2014/main" id="{00000000-0008-0000-0100-0000B3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04" name="Text Box 32">
          <a:extLst>
            <a:ext uri="{FF2B5EF4-FFF2-40B4-BE49-F238E27FC236}">
              <a16:creationId xmlns:a16="http://schemas.microsoft.com/office/drawing/2014/main" id="{00000000-0008-0000-0100-0000B4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05" name="Text Box 3">
          <a:extLst>
            <a:ext uri="{FF2B5EF4-FFF2-40B4-BE49-F238E27FC236}">
              <a16:creationId xmlns:a16="http://schemas.microsoft.com/office/drawing/2014/main" id="{00000000-0008-0000-0100-0000B5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06" name="Text Box 63">
          <a:extLst>
            <a:ext uri="{FF2B5EF4-FFF2-40B4-BE49-F238E27FC236}">
              <a16:creationId xmlns:a16="http://schemas.microsoft.com/office/drawing/2014/main" id="{00000000-0008-0000-0100-0000B6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07" name="Text Box 3">
          <a:extLst>
            <a:ext uri="{FF2B5EF4-FFF2-40B4-BE49-F238E27FC236}">
              <a16:creationId xmlns:a16="http://schemas.microsoft.com/office/drawing/2014/main" id="{00000000-0008-0000-0100-0000B7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08" name="Text Box 32">
          <a:extLst>
            <a:ext uri="{FF2B5EF4-FFF2-40B4-BE49-F238E27FC236}">
              <a16:creationId xmlns:a16="http://schemas.microsoft.com/office/drawing/2014/main" id="{00000000-0008-0000-0100-0000B8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09" name="Text Box 3">
          <a:extLst>
            <a:ext uri="{FF2B5EF4-FFF2-40B4-BE49-F238E27FC236}">
              <a16:creationId xmlns:a16="http://schemas.microsoft.com/office/drawing/2014/main" id="{00000000-0008-0000-0100-0000B9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10" name="Text Box 63">
          <a:extLst>
            <a:ext uri="{FF2B5EF4-FFF2-40B4-BE49-F238E27FC236}">
              <a16:creationId xmlns:a16="http://schemas.microsoft.com/office/drawing/2014/main" id="{00000000-0008-0000-0100-0000BA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11" name="Text Box 3">
          <a:extLst>
            <a:ext uri="{FF2B5EF4-FFF2-40B4-BE49-F238E27FC236}">
              <a16:creationId xmlns:a16="http://schemas.microsoft.com/office/drawing/2014/main" id="{00000000-0008-0000-0100-0000BB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12" name="Text Box 32">
          <a:extLst>
            <a:ext uri="{FF2B5EF4-FFF2-40B4-BE49-F238E27FC236}">
              <a16:creationId xmlns:a16="http://schemas.microsoft.com/office/drawing/2014/main" id="{00000000-0008-0000-0100-0000BC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13" name="Text Box 3">
          <a:extLst>
            <a:ext uri="{FF2B5EF4-FFF2-40B4-BE49-F238E27FC236}">
              <a16:creationId xmlns:a16="http://schemas.microsoft.com/office/drawing/2014/main" id="{00000000-0008-0000-0100-0000BD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14" name="Text Box 63">
          <a:extLst>
            <a:ext uri="{FF2B5EF4-FFF2-40B4-BE49-F238E27FC236}">
              <a16:creationId xmlns:a16="http://schemas.microsoft.com/office/drawing/2014/main" id="{00000000-0008-0000-0100-0000BE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15" name="Text Box 3">
          <a:extLst>
            <a:ext uri="{FF2B5EF4-FFF2-40B4-BE49-F238E27FC236}">
              <a16:creationId xmlns:a16="http://schemas.microsoft.com/office/drawing/2014/main" id="{00000000-0008-0000-0100-0000BF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16" name="Text Box 32">
          <a:extLst>
            <a:ext uri="{FF2B5EF4-FFF2-40B4-BE49-F238E27FC236}">
              <a16:creationId xmlns:a16="http://schemas.microsoft.com/office/drawing/2014/main" id="{00000000-0008-0000-0100-0000C0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17" name="Text Box 3">
          <a:extLst>
            <a:ext uri="{FF2B5EF4-FFF2-40B4-BE49-F238E27FC236}">
              <a16:creationId xmlns:a16="http://schemas.microsoft.com/office/drawing/2014/main" id="{00000000-0008-0000-0100-0000C1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18" name="Text Box 63">
          <a:extLst>
            <a:ext uri="{FF2B5EF4-FFF2-40B4-BE49-F238E27FC236}">
              <a16:creationId xmlns:a16="http://schemas.microsoft.com/office/drawing/2014/main" id="{00000000-0008-0000-0100-0000C2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19" name="Text Box 3">
          <a:extLst>
            <a:ext uri="{FF2B5EF4-FFF2-40B4-BE49-F238E27FC236}">
              <a16:creationId xmlns:a16="http://schemas.microsoft.com/office/drawing/2014/main" id="{00000000-0008-0000-0100-0000C3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20" name="Text Box 32">
          <a:extLst>
            <a:ext uri="{FF2B5EF4-FFF2-40B4-BE49-F238E27FC236}">
              <a16:creationId xmlns:a16="http://schemas.microsoft.com/office/drawing/2014/main" id="{00000000-0008-0000-0100-0000C4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21" name="Text Box 3">
          <a:extLst>
            <a:ext uri="{FF2B5EF4-FFF2-40B4-BE49-F238E27FC236}">
              <a16:creationId xmlns:a16="http://schemas.microsoft.com/office/drawing/2014/main" id="{00000000-0008-0000-0100-0000C5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22" name="Text Box 63">
          <a:extLst>
            <a:ext uri="{FF2B5EF4-FFF2-40B4-BE49-F238E27FC236}">
              <a16:creationId xmlns:a16="http://schemas.microsoft.com/office/drawing/2014/main" id="{00000000-0008-0000-0100-0000C6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23" name="Text Box 3">
          <a:extLst>
            <a:ext uri="{FF2B5EF4-FFF2-40B4-BE49-F238E27FC236}">
              <a16:creationId xmlns:a16="http://schemas.microsoft.com/office/drawing/2014/main" id="{00000000-0008-0000-0100-0000C7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24" name="Text Box 32">
          <a:extLst>
            <a:ext uri="{FF2B5EF4-FFF2-40B4-BE49-F238E27FC236}">
              <a16:creationId xmlns:a16="http://schemas.microsoft.com/office/drawing/2014/main" id="{00000000-0008-0000-0100-0000C8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25" name="Text Box 3">
          <a:extLst>
            <a:ext uri="{FF2B5EF4-FFF2-40B4-BE49-F238E27FC236}">
              <a16:creationId xmlns:a16="http://schemas.microsoft.com/office/drawing/2014/main" id="{00000000-0008-0000-0100-0000C9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26" name="Text Box 63">
          <a:extLst>
            <a:ext uri="{FF2B5EF4-FFF2-40B4-BE49-F238E27FC236}">
              <a16:creationId xmlns:a16="http://schemas.microsoft.com/office/drawing/2014/main" id="{00000000-0008-0000-0100-0000CA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27" name="Text Box 3">
          <a:extLst>
            <a:ext uri="{FF2B5EF4-FFF2-40B4-BE49-F238E27FC236}">
              <a16:creationId xmlns:a16="http://schemas.microsoft.com/office/drawing/2014/main" id="{00000000-0008-0000-0100-0000CB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28" name="Text Box 32">
          <a:extLst>
            <a:ext uri="{FF2B5EF4-FFF2-40B4-BE49-F238E27FC236}">
              <a16:creationId xmlns:a16="http://schemas.microsoft.com/office/drawing/2014/main" id="{00000000-0008-0000-0100-0000CC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29" name="Text Box 3">
          <a:extLst>
            <a:ext uri="{FF2B5EF4-FFF2-40B4-BE49-F238E27FC236}">
              <a16:creationId xmlns:a16="http://schemas.microsoft.com/office/drawing/2014/main" id="{00000000-0008-0000-0100-0000CD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30" name="Text Box 63">
          <a:extLst>
            <a:ext uri="{FF2B5EF4-FFF2-40B4-BE49-F238E27FC236}">
              <a16:creationId xmlns:a16="http://schemas.microsoft.com/office/drawing/2014/main" id="{00000000-0008-0000-0100-0000CE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31" name="Text Box 3">
          <a:extLst>
            <a:ext uri="{FF2B5EF4-FFF2-40B4-BE49-F238E27FC236}">
              <a16:creationId xmlns:a16="http://schemas.microsoft.com/office/drawing/2014/main" id="{00000000-0008-0000-0100-0000CF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32" name="Text Box 32">
          <a:extLst>
            <a:ext uri="{FF2B5EF4-FFF2-40B4-BE49-F238E27FC236}">
              <a16:creationId xmlns:a16="http://schemas.microsoft.com/office/drawing/2014/main" id="{00000000-0008-0000-0100-0000D0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33" name="Text Box 3">
          <a:extLst>
            <a:ext uri="{FF2B5EF4-FFF2-40B4-BE49-F238E27FC236}">
              <a16:creationId xmlns:a16="http://schemas.microsoft.com/office/drawing/2014/main" id="{00000000-0008-0000-0100-0000D1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34" name="Text Box 63">
          <a:extLst>
            <a:ext uri="{FF2B5EF4-FFF2-40B4-BE49-F238E27FC236}">
              <a16:creationId xmlns:a16="http://schemas.microsoft.com/office/drawing/2014/main" id="{00000000-0008-0000-0100-0000D2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35" name="Text Box 3">
          <a:extLst>
            <a:ext uri="{FF2B5EF4-FFF2-40B4-BE49-F238E27FC236}">
              <a16:creationId xmlns:a16="http://schemas.microsoft.com/office/drawing/2014/main" id="{00000000-0008-0000-0100-0000D3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36" name="Text Box 32">
          <a:extLst>
            <a:ext uri="{FF2B5EF4-FFF2-40B4-BE49-F238E27FC236}">
              <a16:creationId xmlns:a16="http://schemas.microsoft.com/office/drawing/2014/main" id="{00000000-0008-0000-0100-0000D4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37" name="Text Box 3">
          <a:extLst>
            <a:ext uri="{FF2B5EF4-FFF2-40B4-BE49-F238E27FC236}">
              <a16:creationId xmlns:a16="http://schemas.microsoft.com/office/drawing/2014/main" id="{00000000-0008-0000-0100-0000D5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38" name="Text Box 63">
          <a:extLst>
            <a:ext uri="{FF2B5EF4-FFF2-40B4-BE49-F238E27FC236}">
              <a16:creationId xmlns:a16="http://schemas.microsoft.com/office/drawing/2014/main" id="{00000000-0008-0000-0100-0000D6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39" name="Text Box 3">
          <a:extLst>
            <a:ext uri="{FF2B5EF4-FFF2-40B4-BE49-F238E27FC236}">
              <a16:creationId xmlns:a16="http://schemas.microsoft.com/office/drawing/2014/main" id="{00000000-0008-0000-0100-0000D7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40" name="Text Box 32">
          <a:extLst>
            <a:ext uri="{FF2B5EF4-FFF2-40B4-BE49-F238E27FC236}">
              <a16:creationId xmlns:a16="http://schemas.microsoft.com/office/drawing/2014/main" id="{00000000-0008-0000-0100-0000D8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41" name="Text Box 3">
          <a:extLst>
            <a:ext uri="{FF2B5EF4-FFF2-40B4-BE49-F238E27FC236}">
              <a16:creationId xmlns:a16="http://schemas.microsoft.com/office/drawing/2014/main" id="{00000000-0008-0000-0100-0000D9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42" name="Text Box 63">
          <a:extLst>
            <a:ext uri="{FF2B5EF4-FFF2-40B4-BE49-F238E27FC236}">
              <a16:creationId xmlns:a16="http://schemas.microsoft.com/office/drawing/2014/main" id="{00000000-0008-0000-0100-0000DA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43" name="Text Box 3">
          <a:extLst>
            <a:ext uri="{FF2B5EF4-FFF2-40B4-BE49-F238E27FC236}">
              <a16:creationId xmlns:a16="http://schemas.microsoft.com/office/drawing/2014/main" id="{00000000-0008-0000-0100-0000DB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44" name="Text Box 32">
          <a:extLst>
            <a:ext uri="{FF2B5EF4-FFF2-40B4-BE49-F238E27FC236}">
              <a16:creationId xmlns:a16="http://schemas.microsoft.com/office/drawing/2014/main" id="{00000000-0008-0000-0100-0000DC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45" name="Text Box 3">
          <a:extLst>
            <a:ext uri="{FF2B5EF4-FFF2-40B4-BE49-F238E27FC236}">
              <a16:creationId xmlns:a16="http://schemas.microsoft.com/office/drawing/2014/main" id="{00000000-0008-0000-0100-0000DD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46" name="Text Box 63">
          <a:extLst>
            <a:ext uri="{FF2B5EF4-FFF2-40B4-BE49-F238E27FC236}">
              <a16:creationId xmlns:a16="http://schemas.microsoft.com/office/drawing/2014/main" id="{00000000-0008-0000-0100-0000DE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47" name="Text Box 3">
          <a:extLst>
            <a:ext uri="{FF2B5EF4-FFF2-40B4-BE49-F238E27FC236}">
              <a16:creationId xmlns:a16="http://schemas.microsoft.com/office/drawing/2014/main" id="{00000000-0008-0000-0100-0000DF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48" name="Text Box 32">
          <a:extLst>
            <a:ext uri="{FF2B5EF4-FFF2-40B4-BE49-F238E27FC236}">
              <a16:creationId xmlns:a16="http://schemas.microsoft.com/office/drawing/2014/main" id="{00000000-0008-0000-0100-0000E0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49" name="Text Box 3">
          <a:extLst>
            <a:ext uri="{FF2B5EF4-FFF2-40B4-BE49-F238E27FC236}">
              <a16:creationId xmlns:a16="http://schemas.microsoft.com/office/drawing/2014/main" id="{00000000-0008-0000-0100-0000E1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50" name="Text Box 63">
          <a:extLst>
            <a:ext uri="{FF2B5EF4-FFF2-40B4-BE49-F238E27FC236}">
              <a16:creationId xmlns:a16="http://schemas.microsoft.com/office/drawing/2014/main" id="{00000000-0008-0000-0100-0000E2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51" name="Text Box 3">
          <a:extLst>
            <a:ext uri="{FF2B5EF4-FFF2-40B4-BE49-F238E27FC236}">
              <a16:creationId xmlns:a16="http://schemas.microsoft.com/office/drawing/2014/main" id="{00000000-0008-0000-0100-0000E3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52" name="Text Box 32">
          <a:extLst>
            <a:ext uri="{FF2B5EF4-FFF2-40B4-BE49-F238E27FC236}">
              <a16:creationId xmlns:a16="http://schemas.microsoft.com/office/drawing/2014/main" id="{00000000-0008-0000-0100-0000E4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53" name="Text Box 3">
          <a:extLst>
            <a:ext uri="{FF2B5EF4-FFF2-40B4-BE49-F238E27FC236}">
              <a16:creationId xmlns:a16="http://schemas.microsoft.com/office/drawing/2014/main" id="{00000000-0008-0000-0100-0000E5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54" name="Text Box 63">
          <a:extLst>
            <a:ext uri="{FF2B5EF4-FFF2-40B4-BE49-F238E27FC236}">
              <a16:creationId xmlns:a16="http://schemas.microsoft.com/office/drawing/2014/main" id="{00000000-0008-0000-0100-0000E6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55" name="Text Box 3">
          <a:extLst>
            <a:ext uri="{FF2B5EF4-FFF2-40B4-BE49-F238E27FC236}">
              <a16:creationId xmlns:a16="http://schemas.microsoft.com/office/drawing/2014/main" id="{00000000-0008-0000-0100-0000E7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56" name="Text Box 32">
          <a:extLst>
            <a:ext uri="{FF2B5EF4-FFF2-40B4-BE49-F238E27FC236}">
              <a16:creationId xmlns:a16="http://schemas.microsoft.com/office/drawing/2014/main" id="{00000000-0008-0000-0100-0000E8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57" name="Text Box 3">
          <a:extLst>
            <a:ext uri="{FF2B5EF4-FFF2-40B4-BE49-F238E27FC236}">
              <a16:creationId xmlns:a16="http://schemas.microsoft.com/office/drawing/2014/main" id="{00000000-0008-0000-0100-0000E9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58" name="Text Box 63">
          <a:extLst>
            <a:ext uri="{FF2B5EF4-FFF2-40B4-BE49-F238E27FC236}">
              <a16:creationId xmlns:a16="http://schemas.microsoft.com/office/drawing/2014/main" id="{00000000-0008-0000-0100-0000EA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59" name="Text Box 3">
          <a:extLst>
            <a:ext uri="{FF2B5EF4-FFF2-40B4-BE49-F238E27FC236}">
              <a16:creationId xmlns:a16="http://schemas.microsoft.com/office/drawing/2014/main" id="{00000000-0008-0000-0100-0000EB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60" name="Text Box 32">
          <a:extLst>
            <a:ext uri="{FF2B5EF4-FFF2-40B4-BE49-F238E27FC236}">
              <a16:creationId xmlns:a16="http://schemas.microsoft.com/office/drawing/2014/main" id="{00000000-0008-0000-0100-0000EC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61" name="Text Box 3">
          <a:extLst>
            <a:ext uri="{FF2B5EF4-FFF2-40B4-BE49-F238E27FC236}">
              <a16:creationId xmlns:a16="http://schemas.microsoft.com/office/drawing/2014/main" id="{00000000-0008-0000-0100-0000ED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62" name="Text Box 63">
          <a:extLst>
            <a:ext uri="{FF2B5EF4-FFF2-40B4-BE49-F238E27FC236}">
              <a16:creationId xmlns:a16="http://schemas.microsoft.com/office/drawing/2014/main" id="{00000000-0008-0000-0100-0000EE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63" name="Text Box 3">
          <a:extLst>
            <a:ext uri="{FF2B5EF4-FFF2-40B4-BE49-F238E27FC236}">
              <a16:creationId xmlns:a16="http://schemas.microsoft.com/office/drawing/2014/main" id="{00000000-0008-0000-0100-0000EF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64" name="Text Box 32">
          <a:extLst>
            <a:ext uri="{FF2B5EF4-FFF2-40B4-BE49-F238E27FC236}">
              <a16:creationId xmlns:a16="http://schemas.microsoft.com/office/drawing/2014/main" id="{00000000-0008-0000-0100-0000F0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65" name="Text Box 3">
          <a:extLst>
            <a:ext uri="{FF2B5EF4-FFF2-40B4-BE49-F238E27FC236}">
              <a16:creationId xmlns:a16="http://schemas.microsoft.com/office/drawing/2014/main" id="{00000000-0008-0000-0100-0000F1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66" name="Text Box 63">
          <a:extLst>
            <a:ext uri="{FF2B5EF4-FFF2-40B4-BE49-F238E27FC236}">
              <a16:creationId xmlns:a16="http://schemas.microsoft.com/office/drawing/2014/main" id="{00000000-0008-0000-0100-0000F2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67" name="Text Box 3">
          <a:extLst>
            <a:ext uri="{FF2B5EF4-FFF2-40B4-BE49-F238E27FC236}">
              <a16:creationId xmlns:a16="http://schemas.microsoft.com/office/drawing/2014/main" id="{00000000-0008-0000-0100-0000F3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68" name="Text Box 32">
          <a:extLst>
            <a:ext uri="{FF2B5EF4-FFF2-40B4-BE49-F238E27FC236}">
              <a16:creationId xmlns:a16="http://schemas.microsoft.com/office/drawing/2014/main" id="{00000000-0008-0000-0100-0000F4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69" name="Text Box 3">
          <a:extLst>
            <a:ext uri="{FF2B5EF4-FFF2-40B4-BE49-F238E27FC236}">
              <a16:creationId xmlns:a16="http://schemas.microsoft.com/office/drawing/2014/main" id="{00000000-0008-0000-0100-0000F5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70" name="Text Box 63">
          <a:extLst>
            <a:ext uri="{FF2B5EF4-FFF2-40B4-BE49-F238E27FC236}">
              <a16:creationId xmlns:a16="http://schemas.microsoft.com/office/drawing/2014/main" id="{00000000-0008-0000-0100-0000F6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71" name="Text Box 3">
          <a:extLst>
            <a:ext uri="{FF2B5EF4-FFF2-40B4-BE49-F238E27FC236}">
              <a16:creationId xmlns:a16="http://schemas.microsoft.com/office/drawing/2014/main" id="{00000000-0008-0000-0100-0000F7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72" name="Text Box 32">
          <a:extLst>
            <a:ext uri="{FF2B5EF4-FFF2-40B4-BE49-F238E27FC236}">
              <a16:creationId xmlns:a16="http://schemas.microsoft.com/office/drawing/2014/main" id="{00000000-0008-0000-0100-0000F8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73" name="Text Box 3">
          <a:extLst>
            <a:ext uri="{FF2B5EF4-FFF2-40B4-BE49-F238E27FC236}">
              <a16:creationId xmlns:a16="http://schemas.microsoft.com/office/drawing/2014/main" id="{00000000-0008-0000-0100-0000F9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74" name="Text Box 63">
          <a:extLst>
            <a:ext uri="{FF2B5EF4-FFF2-40B4-BE49-F238E27FC236}">
              <a16:creationId xmlns:a16="http://schemas.microsoft.com/office/drawing/2014/main" id="{00000000-0008-0000-0100-0000FA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75" name="Text Box 3">
          <a:extLst>
            <a:ext uri="{FF2B5EF4-FFF2-40B4-BE49-F238E27FC236}">
              <a16:creationId xmlns:a16="http://schemas.microsoft.com/office/drawing/2014/main" id="{00000000-0008-0000-0100-0000FB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76" name="Text Box 32">
          <a:extLst>
            <a:ext uri="{FF2B5EF4-FFF2-40B4-BE49-F238E27FC236}">
              <a16:creationId xmlns:a16="http://schemas.microsoft.com/office/drawing/2014/main" id="{00000000-0008-0000-0100-0000FC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77" name="Text Box 3">
          <a:extLst>
            <a:ext uri="{FF2B5EF4-FFF2-40B4-BE49-F238E27FC236}">
              <a16:creationId xmlns:a16="http://schemas.microsoft.com/office/drawing/2014/main" id="{00000000-0008-0000-0100-0000FD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78" name="Text Box 63">
          <a:extLst>
            <a:ext uri="{FF2B5EF4-FFF2-40B4-BE49-F238E27FC236}">
              <a16:creationId xmlns:a16="http://schemas.microsoft.com/office/drawing/2014/main" id="{00000000-0008-0000-0100-0000FE04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79" name="Text Box 3">
          <a:extLst>
            <a:ext uri="{FF2B5EF4-FFF2-40B4-BE49-F238E27FC236}">
              <a16:creationId xmlns:a16="http://schemas.microsoft.com/office/drawing/2014/main" id="{00000000-0008-0000-0100-0000FF04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80" name="Text Box 32">
          <a:extLst>
            <a:ext uri="{FF2B5EF4-FFF2-40B4-BE49-F238E27FC236}">
              <a16:creationId xmlns:a16="http://schemas.microsoft.com/office/drawing/2014/main" id="{00000000-0008-0000-0100-000000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81" name="Text Box 3">
          <a:extLst>
            <a:ext uri="{FF2B5EF4-FFF2-40B4-BE49-F238E27FC236}">
              <a16:creationId xmlns:a16="http://schemas.microsoft.com/office/drawing/2014/main" id="{00000000-0008-0000-0100-000001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82" name="Text Box 63">
          <a:extLst>
            <a:ext uri="{FF2B5EF4-FFF2-40B4-BE49-F238E27FC236}">
              <a16:creationId xmlns:a16="http://schemas.microsoft.com/office/drawing/2014/main" id="{00000000-0008-0000-0100-000002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83" name="Text Box 3">
          <a:extLst>
            <a:ext uri="{FF2B5EF4-FFF2-40B4-BE49-F238E27FC236}">
              <a16:creationId xmlns:a16="http://schemas.microsoft.com/office/drawing/2014/main" id="{00000000-0008-0000-0100-000003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84" name="Text Box 32">
          <a:extLst>
            <a:ext uri="{FF2B5EF4-FFF2-40B4-BE49-F238E27FC236}">
              <a16:creationId xmlns:a16="http://schemas.microsoft.com/office/drawing/2014/main" id="{00000000-0008-0000-0100-000004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85" name="Text Box 3">
          <a:extLst>
            <a:ext uri="{FF2B5EF4-FFF2-40B4-BE49-F238E27FC236}">
              <a16:creationId xmlns:a16="http://schemas.microsoft.com/office/drawing/2014/main" id="{00000000-0008-0000-0100-000005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86" name="Text Box 63">
          <a:extLst>
            <a:ext uri="{FF2B5EF4-FFF2-40B4-BE49-F238E27FC236}">
              <a16:creationId xmlns:a16="http://schemas.microsoft.com/office/drawing/2014/main" id="{00000000-0008-0000-0100-000006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87" name="Text Box 3">
          <a:extLst>
            <a:ext uri="{FF2B5EF4-FFF2-40B4-BE49-F238E27FC236}">
              <a16:creationId xmlns:a16="http://schemas.microsoft.com/office/drawing/2014/main" id="{00000000-0008-0000-0100-000007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88" name="Text Box 32">
          <a:extLst>
            <a:ext uri="{FF2B5EF4-FFF2-40B4-BE49-F238E27FC236}">
              <a16:creationId xmlns:a16="http://schemas.microsoft.com/office/drawing/2014/main" id="{00000000-0008-0000-0100-000008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89" name="Text Box 3">
          <a:extLst>
            <a:ext uri="{FF2B5EF4-FFF2-40B4-BE49-F238E27FC236}">
              <a16:creationId xmlns:a16="http://schemas.microsoft.com/office/drawing/2014/main" id="{00000000-0008-0000-0100-000009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90" name="Text Box 63">
          <a:extLst>
            <a:ext uri="{FF2B5EF4-FFF2-40B4-BE49-F238E27FC236}">
              <a16:creationId xmlns:a16="http://schemas.microsoft.com/office/drawing/2014/main" id="{00000000-0008-0000-0100-00000A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91" name="Text Box 3">
          <a:extLst>
            <a:ext uri="{FF2B5EF4-FFF2-40B4-BE49-F238E27FC236}">
              <a16:creationId xmlns:a16="http://schemas.microsoft.com/office/drawing/2014/main" id="{00000000-0008-0000-0100-00000B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92" name="Text Box 32">
          <a:extLst>
            <a:ext uri="{FF2B5EF4-FFF2-40B4-BE49-F238E27FC236}">
              <a16:creationId xmlns:a16="http://schemas.microsoft.com/office/drawing/2014/main" id="{00000000-0008-0000-0100-00000C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93" name="Text Box 3">
          <a:extLst>
            <a:ext uri="{FF2B5EF4-FFF2-40B4-BE49-F238E27FC236}">
              <a16:creationId xmlns:a16="http://schemas.microsoft.com/office/drawing/2014/main" id="{00000000-0008-0000-0100-00000D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94" name="Text Box 63">
          <a:extLst>
            <a:ext uri="{FF2B5EF4-FFF2-40B4-BE49-F238E27FC236}">
              <a16:creationId xmlns:a16="http://schemas.microsoft.com/office/drawing/2014/main" id="{00000000-0008-0000-0100-00000E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95" name="Text Box 3">
          <a:extLst>
            <a:ext uri="{FF2B5EF4-FFF2-40B4-BE49-F238E27FC236}">
              <a16:creationId xmlns:a16="http://schemas.microsoft.com/office/drawing/2014/main" id="{00000000-0008-0000-0100-00000F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96" name="Text Box 32">
          <a:extLst>
            <a:ext uri="{FF2B5EF4-FFF2-40B4-BE49-F238E27FC236}">
              <a16:creationId xmlns:a16="http://schemas.microsoft.com/office/drawing/2014/main" id="{00000000-0008-0000-0100-000010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97" name="Text Box 3">
          <a:extLst>
            <a:ext uri="{FF2B5EF4-FFF2-40B4-BE49-F238E27FC236}">
              <a16:creationId xmlns:a16="http://schemas.microsoft.com/office/drawing/2014/main" id="{00000000-0008-0000-0100-000011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298" name="Text Box 63">
          <a:extLst>
            <a:ext uri="{FF2B5EF4-FFF2-40B4-BE49-F238E27FC236}">
              <a16:creationId xmlns:a16="http://schemas.microsoft.com/office/drawing/2014/main" id="{00000000-0008-0000-0100-000012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299" name="Text Box 3">
          <a:extLst>
            <a:ext uri="{FF2B5EF4-FFF2-40B4-BE49-F238E27FC236}">
              <a16:creationId xmlns:a16="http://schemas.microsoft.com/office/drawing/2014/main" id="{00000000-0008-0000-0100-000013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00" name="Text Box 32">
          <a:extLst>
            <a:ext uri="{FF2B5EF4-FFF2-40B4-BE49-F238E27FC236}">
              <a16:creationId xmlns:a16="http://schemas.microsoft.com/office/drawing/2014/main" id="{00000000-0008-0000-0100-000014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01" name="Text Box 3">
          <a:extLst>
            <a:ext uri="{FF2B5EF4-FFF2-40B4-BE49-F238E27FC236}">
              <a16:creationId xmlns:a16="http://schemas.microsoft.com/office/drawing/2014/main" id="{00000000-0008-0000-0100-000015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02" name="Text Box 63">
          <a:extLst>
            <a:ext uri="{FF2B5EF4-FFF2-40B4-BE49-F238E27FC236}">
              <a16:creationId xmlns:a16="http://schemas.microsoft.com/office/drawing/2014/main" id="{00000000-0008-0000-0100-000016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03" name="Text Box 3">
          <a:extLst>
            <a:ext uri="{FF2B5EF4-FFF2-40B4-BE49-F238E27FC236}">
              <a16:creationId xmlns:a16="http://schemas.microsoft.com/office/drawing/2014/main" id="{00000000-0008-0000-0100-000017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04" name="Text Box 32">
          <a:extLst>
            <a:ext uri="{FF2B5EF4-FFF2-40B4-BE49-F238E27FC236}">
              <a16:creationId xmlns:a16="http://schemas.microsoft.com/office/drawing/2014/main" id="{00000000-0008-0000-0100-000018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05" name="Text Box 3">
          <a:extLst>
            <a:ext uri="{FF2B5EF4-FFF2-40B4-BE49-F238E27FC236}">
              <a16:creationId xmlns:a16="http://schemas.microsoft.com/office/drawing/2014/main" id="{00000000-0008-0000-0100-000019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06" name="Text Box 63">
          <a:extLst>
            <a:ext uri="{FF2B5EF4-FFF2-40B4-BE49-F238E27FC236}">
              <a16:creationId xmlns:a16="http://schemas.microsoft.com/office/drawing/2014/main" id="{00000000-0008-0000-0100-00001A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07" name="Text Box 3">
          <a:extLst>
            <a:ext uri="{FF2B5EF4-FFF2-40B4-BE49-F238E27FC236}">
              <a16:creationId xmlns:a16="http://schemas.microsoft.com/office/drawing/2014/main" id="{00000000-0008-0000-0100-00001B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08" name="Text Box 32">
          <a:extLst>
            <a:ext uri="{FF2B5EF4-FFF2-40B4-BE49-F238E27FC236}">
              <a16:creationId xmlns:a16="http://schemas.microsoft.com/office/drawing/2014/main" id="{00000000-0008-0000-0100-00001C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09" name="Text Box 3">
          <a:extLst>
            <a:ext uri="{FF2B5EF4-FFF2-40B4-BE49-F238E27FC236}">
              <a16:creationId xmlns:a16="http://schemas.microsoft.com/office/drawing/2014/main" id="{00000000-0008-0000-0100-00001D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10" name="Text Box 63">
          <a:extLst>
            <a:ext uri="{FF2B5EF4-FFF2-40B4-BE49-F238E27FC236}">
              <a16:creationId xmlns:a16="http://schemas.microsoft.com/office/drawing/2014/main" id="{00000000-0008-0000-0100-00001E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11" name="Text Box 3">
          <a:extLst>
            <a:ext uri="{FF2B5EF4-FFF2-40B4-BE49-F238E27FC236}">
              <a16:creationId xmlns:a16="http://schemas.microsoft.com/office/drawing/2014/main" id="{00000000-0008-0000-0100-00001F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12" name="Text Box 32">
          <a:extLst>
            <a:ext uri="{FF2B5EF4-FFF2-40B4-BE49-F238E27FC236}">
              <a16:creationId xmlns:a16="http://schemas.microsoft.com/office/drawing/2014/main" id="{00000000-0008-0000-0100-000020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13" name="Text Box 3">
          <a:extLst>
            <a:ext uri="{FF2B5EF4-FFF2-40B4-BE49-F238E27FC236}">
              <a16:creationId xmlns:a16="http://schemas.microsoft.com/office/drawing/2014/main" id="{00000000-0008-0000-0100-000021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14" name="Text Box 63">
          <a:extLst>
            <a:ext uri="{FF2B5EF4-FFF2-40B4-BE49-F238E27FC236}">
              <a16:creationId xmlns:a16="http://schemas.microsoft.com/office/drawing/2014/main" id="{00000000-0008-0000-0100-000022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15" name="Text Box 3">
          <a:extLst>
            <a:ext uri="{FF2B5EF4-FFF2-40B4-BE49-F238E27FC236}">
              <a16:creationId xmlns:a16="http://schemas.microsoft.com/office/drawing/2014/main" id="{00000000-0008-0000-0100-000023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16" name="Text Box 32">
          <a:extLst>
            <a:ext uri="{FF2B5EF4-FFF2-40B4-BE49-F238E27FC236}">
              <a16:creationId xmlns:a16="http://schemas.microsoft.com/office/drawing/2014/main" id="{00000000-0008-0000-0100-000024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17" name="Text Box 3">
          <a:extLst>
            <a:ext uri="{FF2B5EF4-FFF2-40B4-BE49-F238E27FC236}">
              <a16:creationId xmlns:a16="http://schemas.microsoft.com/office/drawing/2014/main" id="{00000000-0008-0000-0100-000025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18" name="Text Box 63">
          <a:extLst>
            <a:ext uri="{FF2B5EF4-FFF2-40B4-BE49-F238E27FC236}">
              <a16:creationId xmlns:a16="http://schemas.microsoft.com/office/drawing/2014/main" id="{00000000-0008-0000-0100-000026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19" name="Text Box 3">
          <a:extLst>
            <a:ext uri="{FF2B5EF4-FFF2-40B4-BE49-F238E27FC236}">
              <a16:creationId xmlns:a16="http://schemas.microsoft.com/office/drawing/2014/main" id="{00000000-0008-0000-0100-000027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20" name="Text Box 32">
          <a:extLst>
            <a:ext uri="{FF2B5EF4-FFF2-40B4-BE49-F238E27FC236}">
              <a16:creationId xmlns:a16="http://schemas.microsoft.com/office/drawing/2014/main" id="{00000000-0008-0000-0100-000028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21" name="Text Box 3">
          <a:extLst>
            <a:ext uri="{FF2B5EF4-FFF2-40B4-BE49-F238E27FC236}">
              <a16:creationId xmlns:a16="http://schemas.microsoft.com/office/drawing/2014/main" id="{00000000-0008-0000-0100-000029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22" name="Text Box 63">
          <a:extLst>
            <a:ext uri="{FF2B5EF4-FFF2-40B4-BE49-F238E27FC236}">
              <a16:creationId xmlns:a16="http://schemas.microsoft.com/office/drawing/2014/main" id="{00000000-0008-0000-0100-00002A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23" name="Text Box 3">
          <a:extLst>
            <a:ext uri="{FF2B5EF4-FFF2-40B4-BE49-F238E27FC236}">
              <a16:creationId xmlns:a16="http://schemas.microsoft.com/office/drawing/2014/main" id="{00000000-0008-0000-0100-00002B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24" name="Text Box 32">
          <a:extLst>
            <a:ext uri="{FF2B5EF4-FFF2-40B4-BE49-F238E27FC236}">
              <a16:creationId xmlns:a16="http://schemas.microsoft.com/office/drawing/2014/main" id="{00000000-0008-0000-0100-00002C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25" name="Text Box 3">
          <a:extLst>
            <a:ext uri="{FF2B5EF4-FFF2-40B4-BE49-F238E27FC236}">
              <a16:creationId xmlns:a16="http://schemas.microsoft.com/office/drawing/2014/main" id="{00000000-0008-0000-0100-00002D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26" name="Text Box 63">
          <a:extLst>
            <a:ext uri="{FF2B5EF4-FFF2-40B4-BE49-F238E27FC236}">
              <a16:creationId xmlns:a16="http://schemas.microsoft.com/office/drawing/2014/main" id="{00000000-0008-0000-0100-00002E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27" name="Text Box 3">
          <a:extLst>
            <a:ext uri="{FF2B5EF4-FFF2-40B4-BE49-F238E27FC236}">
              <a16:creationId xmlns:a16="http://schemas.microsoft.com/office/drawing/2014/main" id="{00000000-0008-0000-0100-00002F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28" name="Text Box 32">
          <a:extLst>
            <a:ext uri="{FF2B5EF4-FFF2-40B4-BE49-F238E27FC236}">
              <a16:creationId xmlns:a16="http://schemas.microsoft.com/office/drawing/2014/main" id="{00000000-0008-0000-0100-000030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29" name="Text Box 3">
          <a:extLst>
            <a:ext uri="{FF2B5EF4-FFF2-40B4-BE49-F238E27FC236}">
              <a16:creationId xmlns:a16="http://schemas.microsoft.com/office/drawing/2014/main" id="{00000000-0008-0000-0100-000031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30" name="Text Box 63">
          <a:extLst>
            <a:ext uri="{FF2B5EF4-FFF2-40B4-BE49-F238E27FC236}">
              <a16:creationId xmlns:a16="http://schemas.microsoft.com/office/drawing/2014/main" id="{00000000-0008-0000-0100-000032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31" name="Text Box 3">
          <a:extLst>
            <a:ext uri="{FF2B5EF4-FFF2-40B4-BE49-F238E27FC236}">
              <a16:creationId xmlns:a16="http://schemas.microsoft.com/office/drawing/2014/main" id="{00000000-0008-0000-0100-000033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32" name="Text Box 32">
          <a:extLst>
            <a:ext uri="{FF2B5EF4-FFF2-40B4-BE49-F238E27FC236}">
              <a16:creationId xmlns:a16="http://schemas.microsoft.com/office/drawing/2014/main" id="{00000000-0008-0000-0100-000034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33" name="Text Box 3">
          <a:extLst>
            <a:ext uri="{FF2B5EF4-FFF2-40B4-BE49-F238E27FC236}">
              <a16:creationId xmlns:a16="http://schemas.microsoft.com/office/drawing/2014/main" id="{00000000-0008-0000-0100-000035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34" name="Text Box 63">
          <a:extLst>
            <a:ext uri="{FF2B5EF4-FFF2-40B4-BE49-F238E27FC236}">
              <a16:creationId xmlns:a16="http://schemas.microsoft.com/office/drawing/2014/main" id="{00000000-0008-0000-0100-000036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35" name="Text Box 3">
          <a:extLst>
            <a:ext uri="{FF2B5EF4-FFF2-40B4-BE49-F238E27FC236}">
              <a16:creationId xmlns:a16="http://schemas.microsoft.com/office/drawing/2014/main" id="{00000000-0008-0000-0100-000037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36" name="Text Box 32">
          <a:extLst>
            <a:ext uri="{FF2B5EF4-FFF2-40B4-BE49-F238E27FC236}">
              <a16:creationId xmlns:a16="http://schemas.microsoft.com/office/drawing/2014/main" id="{00000000-0008-0000-0100-000038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37" name="Text Box 3">
          <a:extLst>
            <a:ext uri="{FF2B5EF4-FFF2-40B4-BE49-F238E27FC236}">
              <a16:creationId xmlns:a16="http://schemas.microsoft.com/office/drawing/2014/main" id="{00000000-0008-0000-0100-000039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38" name="Text Box 63">
          <a:extLst>
            <a:ext uri="{FF2B5EF4-FFF2-40B4-BE49-F238E27FC236}">
              <a16:creationId xmlns:a16="http://schemas.microsoft.com/office/drawing/2014/main" id="{00000000-0008-0000-0100-00003A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39" name="Text Box 3">
          <a:extLst>
            <a:ext uri="{FF2B5EF4-FFF2-40B4-BE49-F238E27FC236}">
              <a16:creationId xmlns:a16="http://schemas.microsoft.com/office/drawing/2014/main" id="{00000000-0008-0000-0100-00003B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40" name="Text Box 32">
          <a:extLst>
            <a:ext uri="{FF2B5EF4-FFF2-40B4-BE49-F238E27FC236}">
              <a16:creationId xmlns:a16="http://schemas.microsoft.com/office/drawing/2014/main" id="{00000000-0008-0000-0100-00003C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41" name="Text Box 3">
          <a:extLst>
            <a:ext uri="{FF2B5EF4-FFF2-40B4-BE49-F238E27FC236}">
              <a16:creationId xmlns:a16="http://schemas.microsoft.com/office/drawing/2014/main" id="{00000000-0008-0000-0100-00003D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42" name="Text Box 63">
          <a:extLst>
            <a:ext uri="{FF2B5EF4-FFF2-40B4-BE49-F238E27FC236}">
              <a16:creationId xmlns:a16="http://schemas.microsoft.com/office/drawing/2014/main" id="{00000000-0008-0000-0100-00003E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43" name="Text Box 3">
          <a:extLst>
            <a:ext uri="{FF2B5EF4-FFF2-40B4-BE49-F238E27FC236}">
              <a16:creationId xmlns:a16="http://schemas.microsoft.com/office/drawing/2014/main" id="{00000000-0008-0000-0100-00003F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44" name="Text Box 32">
          <a:extLst>
            <a:ext uri="{FF2B5EF4-FFF2-40B4-BE49-F238E27FC236}">
              <a16:creationId xmlns:a16="http://schemas.microsoft.com/office/drawing/2014/main" id="{00000000-0008-0000-0100-000040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45" name="Text Box 3">
          <a:extLst>
            <a:ext uri="{FF2B5EF4-FFF2-40B4-BE49-F238E27FC236}">
              <a16:creationId xmlns:a16="http://schemas.microsoft.com/office/drawing/2014/main" id="{00000000-0008-0000-0100-000041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46" name="Text Box 63">
          <a:extLst>
            <a:ext uri="{FF2B5EF4-FFF2-40B4-BE49-F238E27FC236}">
              <a16:creationId xmlns:a16="http://schemas.microsoft.com/office/drawing/2014/main" id="{00000000-0008-0000-0100-000042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47" name="Text Box 3">
          <a:extLst>
            <a:ext uri="{FF2B5EF4-FFF2-40B4-BE49-F238E27FC236}">
              <a16:creationId xmlns:a16="http://schemas.microsoft.com/office/drawing/2014/main" id="{00000000-0008-0000-0100-000043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48" name="Text Box 32">
          <a:extLst>
            <a:ext uri="{FF2B5EF4-FFF2-40B4-BE49-F238E27FC236}">
              <a16:creationId xmlns:a16="http://schemas.microsoft.com/office/drawing/2014/main" id="{00000000-0008-0000-0100-000044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49" name="Text Box 3">
          <a:extLst>
            <a:ext uri="{FF2B5EF4-FFF2-40B4-BE49-F238E27FC236}">
              <a16:creationId xmlns:a16="http://schemas.microsoft.com/office/drawing/2014/main" id="{00000000-0008-0000-0100-000045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50" name="Text Box 63">
          <a:extLst>
            <a:ext uri="{FF2B5EF4-FFF2-40B4-BE49-F238E27FC236}">
              <a16:creationId xmlns:a16="http://schemas.microsoft.com/office/drawing/2014/main" id="{00000000-0008-0000-0100-000046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51" name="Text Box 3">
          <a:extLst>
            <a:ext uri="{FF2B5EF4-FFF2-40B4-BE49-F238E27FC236}">
              <a16:creationId xmlns:a16="http://schemas.microsoft.com/office/drawing/2014/main" id="{00000000-0008-0000-0100-000047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52" name="Text Box 32">
          <a:extLst>
            <a:ext uri="{FF2B5EF4-FFF2-40B4-BE49-F238E27FC236}">
              <a16:creationId xmlns:a16="http://schemas.microsoft.com/office/drawing/2014/main" id="{00000000-0008-0000-0100-000048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53" name="Text Box 3">
          <a:extLst>
            <a:ext uri="{FF2B5EF4-FFF2-40B4-BE49-F238E27FC236}">
              <a16:creationId xmlns:a16="http://schemas.microsoft.com/office/drawing/2014/main" id="{00000000-0008-0000-0100-000049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54" name="Text Box 63">
          <a:extLst>
            <a:ext uri="{FF2B5EF4-FFF2-40B4-BE49-F238E27FC236}">
              <a16:creationId xmlns:a16="http://schemas.microsoft.com/office/drawing/2014/main" id="{00000000-0008-0000-0100-00004A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55" name="Text Box 3">
          <a:extLst>
            <a:ext uri="{FF2B5EF4-FFF2-40B4-BE49-F238E27FC236}">
              <a16:creationId xmlns:a16="http://schemas.microsoft.com/office/drawing/2014/main" id="{00000000-0008-0000-0100-00004B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56" name="Text Box 32">
          <a:extLst>
            <a:ext uri="{FF2B5EF4-FFF2-40B4-BE49-F238E27FC236}">
              <a16:creationId xmlns:a16="http://schemas.microsoft.com/office/drawing/2014/main" id="{00000000-0008-0000-0100-00004C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57" name="Text Box 3">
          <a:extLst>
            <a:ext uri="{FF2B5EF4-FFF2-40B4-BE49-F238E27FC236}">
              <a16:creationId xmlns:a16="http://schemas.microsoft.com/office/drawing/2014/main" id="{00000000-0008-0000-0100-00004D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58" name="Text Box 63">
          <a:extLst>
            <a:ext uri="{FF2B5EF4-FFF2-40B4-BE49-F238E27FC236}">
              <a16:creationId xmlns:a16="http://schemas.microsoft.com/office/drawing/2014/main" id="{00000000-0008-0000-0100-00004E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59" name="Text Box 3">
          <a:extLst>
            <a:ext uri="{FF2B5EF4-FFF2-40B4-BE49-F238E27FC236}">
              <a16:creationId xmlns:a16="http://schemas.microsoft.com/office/drawing/2014/main" id="{00000000-0008-0000-0100-00004F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60" name="Text Box 32">
          <a:extLst>
            <a:ext uri="{FF2B5EF4-FFF2-40B4-BE49-F238E27FC236}">
              <a16:creationId xmlns:a16="http://schemas.microsoft.com/office/drawing/2014/main" id="{00000000-0008-0000-0100-000050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61" name="Text Box 3">
          <a:extLst>
            <a:ext uri="{FF2B5EF4-FFF2-40B4-BE49-F238E27FC236}">
              <a16:creationId xmlns:a16="http://schemas.microsoft.com/office/drawing/2014/main" id="{00000000-0008-0000-0100-000051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62" name="Text Box 63">
          <a:extLst>
            <a:ext uri="{FF2B5EF4-FFF2-40B4-BE49-F238E27FC236}">
              <a16:creationId xmlns:a16="http://schemas.microsoft.com/office/drawing/2014/main" id="{00000000-0008-0000-0100-000052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63" name="Text Box 3">
          <a:extLst>
            <a:ext uri="{FF2B5EF4-FFF2-40B4-BE49-F238E27FC236}">
              <a16:creationId xmlns:a16="http://schemas.microsoft.com/office/drawing/2014/main" id="{00000000-0008-0000-0100-000053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64" name="Text Box 32">
          <a:extLst>
            <a:ext uri="{FF2B5EF4-FFF2-40B4-BE49-F238E27FC236}">
              <a16:creationId xmlns:a16="http://schemas.microsoft.com/office/drawing/2014/main" id="{00000000-0008-0000-0100-000054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65" name="Text Box 3">
          <a:extLst>
            <a:ext uri="{FF2B5EF4-FFF2-40B4-BE49-F238E27FC236}">
              <a16:creationId xmlns:a16="http://schemas.microsoft.com/office/drawing/2014/main" id="{00000000-0008-0000-0100-000055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66" name="Text Box 63">
          <a:extLst>
            <a:ext uri="{FF2B5EF4-FFF2-40B4-BE49-F238E27FC236}">
              <a16:creationId xmlns:a16="http://schemas.microsoft.com/office/drawing/2014/main" id="{00000000-0008-0000-0100-000056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67" name="Text Box 3">
          <a:extLst>
            <a:ext uri="{FF2B5EF4-FFF2-40B4-BE49-F238E27FC236}">
              <a16:creationId xmlns:a16="http://schemas.microsoft.com/office/drawing/2014/main" id="{00000000-0008-0000-0100-000057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68" name="Text Box 32">
          <a:extLst>
            <a:ext uri="{FF2B5EF4-FFF2-40B4-BE49-F238E27FC236}">
              <a16:creationId xmlns:a16="http://schemas.microsoft.com/office/drawing/2014/main" id="{00000000-0008-0000-0100-000058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69" name="Text Box 3">
          <a:extLst>
            <a:ext uri="{FF2B5EF4-FFF2-40B4-BE49-F238E27FC236}">
              <a16:creationId xmlns:a16="http://schemas.microsoft.com/office/drawing/2014/main" id="{00000000-0008-0000-0100-000059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70" name="Text Box 63">
          <a:extLst>
            <a:ext uri="{FF2B5EF4-FFF2-40B4-BE49-F238E27FC236}">
              <a16:creationId xmlns:a16="http://schemas.microsoft.com/office/drawing/2014/main" id="{00000000-0008-0000-0100-00005A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71" name="Text Box 3">
          <a:extLst>
            <a:ext uri="{FF2B5EF4-FFF2-40B4-BE49-F238E27FC236}">
              <a16:creationId xmlns:a16="http://schemas.microsoft.com/office/drawing/2014/main" id="{00000000-0008-0000-0100-00005B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72" name="Text Box 32">
          <a:extLst>
            <a:ext uri="{FF2B5EF4-FFF2-40B4-BE49-F238E27FC236}">
              <a16:creationId xmlns:a16="http://schemas.microsoft.com/office/drawing/2014/main" id="{00000000-0008-0000-0100-00005C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73" name="Text Box 3">
          <a:extLst>
            <a:ext uri="{FF2B5EF4-FFF2-40B4-BE49-F238E27FC236}">
              <a16:creationId xmlns:a16="http://schemas.microsoft.com/office/drawing/2014/main" id="{00000000-0008-0000-0100-00005D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74" name="Text Box 63">
          <a:extLst>
            <a:ext uri="{FF2B5EF4-FFF2-40B4-BE49-F238E27FC236}">
              <a16:creationId xmlns:a16="http://schemas.microsoft.com/office/drawing/2014/main" id="{00000000-0008-0000-0100-00005E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75" name="Text Box 3">
          <a:extLst>
            <a:ext uri="{FF2B5EF4-FFF2-40B4-BE49-F238E27FC236}">
              <a16:creationId xmlns:a16="http://schemas.microsoft.com/office/drawing/2014/main" id="{00000000-0008-0000-0100-00005F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76" name="Text Box 32">
          <a:extLst>
            <a:ext uri="{FF2B5EF4-FFF2-40B4-BE49-F238E27FC236}">
              <a16:creationId xmlns:a16="http://schemas.microsoft.com/office/drawing/2014/main" id="{00000000-0008-0000-0100-000060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77" name="Text Box 3">
          <a:extLst>
            <a:ext uri="{FF2B5EF4-FFF2-40B4-BE49-F238E27FC236}">
              <a16:creationId xmlns:a16="http://schemas.microsoft.com/office/drawing/2014/main" id="{00000000-0008-0000-0100-000061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78" name="Text Box 63">
          <a:extLst>
            <a:ext uri="{FF2B5EF4-FFF2-40B4-BE49-F238E27FC236}">
              <a16:creationId xmlns:a16="http://schemas.microsoft.com/office/drawing/2014/main" id="{00000000-0008-0000-0100-000062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79" name="Text Box 3">
          <a:extLst>
            <a:ext uri="{FF2B5EF4-FFF2-40B4-BE49-F238E27FC236}">
              <a16:creationId xmlns:a16="http://schemas.microsoft.com/office/drawing/2014/main" id="{00000000-0008-0000-0100-000063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80" name="Text Box 32">
          <a:extLst>
            <a:ext uri="{FF2B5EF4-FFF2-40B4-BE49-F238E27FC236}">
              <a16:creationId xmlns:a16="http://schemas.microsoft.com/office/drawing/2014/main" id="{00000000-0008-0000-0100-000064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81" name="Text Box 3">
          <a:extLst>
            <a:ext uri="{FF2B5EF4-FFF2-40B4-BE49-F238E27FC236}">
              <a16:creationId xmlns:a16="http://schemas.microsoft.com/office/drawing/2014/main" id="{00000000-0008-0000-0100-000065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82" name="Text Box 63">
          <a:extLst>
            <a:ext uri="{FF2B5EF4-FFF2-40B4-BE49-F238E27FC236}">
              <a16:creationId xmlns:a16="http://schemas.microsoft.com/office/drawing/2014/main" id="{00000000-0008-0000-0100-000066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83" name="Text Box 3">
          <a:extLst>
            <a:ext uri="{FF2B5EF4-FFF2-40B4-BE49-F238E27FC236}">
              <a16:creationId xmlns:a16="http://schemas.microsoft.com/office/drawing/2014/main" id="{00000000-0008-0000-0100-000067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84" name="Text Box 32">
          <a:extLst>
            <a:ext uri="{FF2B5EF4-FFF2-40B4-BE49-F238E27FC236}">
              <a16:creationId xmlns:a16="http://schemas.microsoft.com/office/drawing/2014/main" id="{00000000-0008-0000-0100-000068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85" name="Text Box 3">
          <a:extLst>
            <a:ext uri="{FF2B5EF4-FFF2-40B4-BE49-F238E27FC236}">
              <a16:creationId xmlns:a16="http://schemas.microsoft.com/office/drawing/2014/main" id="{00000000-0008-0000-0100-000069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86" name="Text Box 63">
          <a:extLst>
            <a:ext uri="{FF2B5EF4-FFF2-40B4-BE49-F238E27FC236}">
              <a16:creationId xmlns:a16="http://schemas.microsoft.com/office/drawing/2014/main" id="{00000000-0008-0000-0100-00006A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87" name="Text Box 3">
          <a:extLst>
            <a:ext uri="{FF2B5EF4-FFF2-40B4-BE49-F238E27FC236}">
              <a16:creationId xmlns:a16="http://schemas.microsoft.com/office/drawing/2014/main" id="{00000000-0008-0000-0100-00006B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88" name="Text Box 32">
          <a:extLst>
            <a:ext uri="{FF2B5EF4-FFF2-40B4-BE49-F238E27FC236}">
              <a16:creationId xmlns:a16="http://schemas.microsoft.com/office/drawing/2014/main" id="{00000000-0008-0000-0100-00006C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89" name="Text Box 3">
          <a:extLst>
            <a:ext uri="{FF2B5EF4-FFF2-40B4-BE49-F238E27FC236}">
              <a16:creationId xmlns:a16="http://schemas.microsoft.com/office/drawing/2014/main" id="{00000000-0008-0000-0100-00006D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90" name="Text Box 63">
          <a:extLst>
            <a:ext uri="{FF2B5EF4-FFF2-40B4-BE49-F238E27FC236}">
              <a16:creationId xmlns:a16="http://schemas.microsoft.com/office/drawing/2014/main" id="{00000000-0008-0000-0100-00006E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91" name="Text Box 3">
          <a:extLst>
            <a:ext uri="{FF2B5EF4-FFF2-40B4-BE49-F238E27FC236}">
              <a16:creationId xmlns:a16="http://schemas.microsoft.com/office/drawing/2014/main" id="{00000000-0008-0000-0100-00006F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92" name="Text Box 32">
          <a:extLst>
            <a:ext uri="{FF2B5EF4-FFF2-40B4-BE49-F238E27FC236}">
              <a16:creationId xmlns:a16="http://schemas.microsoft.com/office/drawing/2014/main" id="{00000000-0008-0000-0100-000070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93" name="Text Box 3">
          <a:extLst>
            <a:ext uri="{FF2B5EF4-FFF2-40B4-BE49-F238E27FC236}">
              <a16:creationId xmlns:a16="http://schemas.microsoft.com/office/drawing/2014/main" id="{00000000-0008-0000-0100-000071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94" name="Text Box 63">
          <a:extLst>
            <a:ext uri="{FF2B5EF4-FFF2-40B4-BE49-F238E27FC236}">
              <a16:creationId xmlns:a16="http://schemas.microsoft.com/office/drawing/2014/main" id="{00000000-0008-0000-0100-000072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95" name="Text Box 3">
          <a:extLst>
            <a:ext uri="{FF2B5EF4-FFF2-40B4-BE49-F238E27FC236}">
              <a16:creationId xmlns:a16="http://schemas.microsoft.com/office/drawing/2014/main" id="{00000000-0008-0000-0100-000073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96" name="Text Box 32">
          <a:extLst>
            <a:ext uri="{FF2B5EF4-FFF2-40B4-BE49-F238E27FC236}">
              <a16:creationId xmlns:a16="http://schemas.microsoft.com/office/drawing/2014/main" id="{00000000-0008-0000-0100-000074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397" name="Text Box 3">
          <a:extLst>
            <a:ext uri="{FF2B5EF4-FFF2-40B4-BE49-F238E27FC236}">
              <a16:creationId xmlns:a16="http://schemas.microsoft.com/office/drawing/2014/main" id="{00000000-0008-0000-0100-000075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98" name="Text Box 63">
          <a:extLst>
            <a:ext uri="{FF2B5EF4-FFF2-40B4-BE49-F238E27FC236}">
              <a16:creationId xmlns:a16="http://schemas.microsoft.com/office/drawing/2014/main" id="{00000000-0008-0000-0100-000076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399" name="Text Box 32">
          <a:extLst>
            <a:ext uri="{FF2B5EF4-FFF2-40B4-BE49-F238E27FC236}">
              <a16:creationId xmlns:a16="http://schemas.microsoft.com/office/drawing/2014/main" id="{00000000-0008-0000-0100-000077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00" name="Text Box 3">
          <a:extLst>
            <a:ext uri="{FF2B5EF4-FFF2-40B4-BE49-F238E27FC236}">
              <a16:creationId xmlns:a16="http://schemas.microsoft.com/office/drawing/2014/main" id="{00000000-0008-0000-0100-000078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01" name="Text Box 63">
          <a:extLst>
            <a:ext uri="{FF2B5EF4-FFF2-40B4-BE49-F238E27FC236}">
              <a16:creationId xmlns:a16="http://schemas.microsoft.com/office/drawing/2014/main" id="{00000000-0008-0000-0100-000079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02" name="Text Box 3">
          <a:extLst>
            <a:ext uri="{FF2B5EF4-FFF2-40B4-BE49-F238E27FC236}">
              <a16:creationId xmlns:a16="http://schemas.microsoft.com/office/drawing/2014/main" id="{00000000-0008-0000-0100-00007A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03" name="Text Box 32">
          <a:extLst>
            <a:ext uri="{FF2B5EF4-FFF2-40B4-BE49-F238E27FC236}">
              <a16:creationId xmlns:a16="http://schemas.microsoft.com/office/drawing/2014/main" id="{00000000-0008-0000-0100-00007B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04" name="Text Box 3">
          <a:extLst>
            <a:ext uri="{FF2B5EF4-FFF2-40B4-BE49-F238E27FC236}">
              <a16:creationId xmlns:a16="http://schemas.microsoft.com/office/drawing/2014/main" id="{00000000-0008-0000-0100-00007C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05" name="Text Box 63">
          <a:extLst>
            <a:ext uri="{FF2B5EF4-FFF2-40B4-BE49-F238E27FC236}">
              <a16:creationId xmlns:a16="http://schemas.microsoft.com/office/drawing/2014/main" id="{00000000-0008-0000-0100-00007D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06" name="Text Box 3">
          <a:extLst>
            <a:ext uri="{FF2B5EF4-FFF2-40B4-BE49-F238E27FC236}">
              <a16:creationId xmlns:a16="http://schemas.microsoft.com/office/drawing/2014/main" id="{00000000-0008-0000-0100-00007E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07" name="Text Box 32">
          <a:extLst>
            <a:ext uri="{FF2B5EF4-FFF2-40B4-BE49-F238E27FC236}">
              <a16:creationId xmlns:a16="http://schemas.microsoft.com/office/drawing/2014/main" id="{00000000-0008-0000-0100-00007F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08" name="Text Box 3">
          <a:extLst>
            <a:ext uri="{FF2B5EF4-FFF2-40B4-BE49-F238E27FC236}">
              <a16:creationId xmlns:a16="http://schemas.microsoft.com/office/drawing/2014/main" id="{00000000-0008-0000-0100-000080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09" name="Text Box 63">
          <a:extLst>
            <a:ext uri="{FF2B5EF4-FFF2-40B4-BE49-F238E27FC236}">
              <a16:creationId xmlns:a16="http://schemas.microsoft.com/office/drawing/2014/main" id="{00000000-0008-0000-0100-000081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10" name="Text Box 3">
          <a:extLst>
            <a:ext uri="{FF2B5EF4-FFF2-40B4-BE49-F238E27FC236}">
              <a16:creationId xmlns:a16="http://schemas.microsoft.com/office/drawing/2014/main" id="{00000000-0008-0000-0100-000082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11" name="Text Box 32">
          <a:extLst>
            <a:ext uri="{FF2B5EF4-FFF2-40B4-BE49-F238E27FC236}">
              <a16:creationId xmlns:a16="http://schemas.microsoft.com/office/drawing/2014/main" id="{00000000-0008-0000-0100-000083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12" name="Text Box 3">
          <a:extLst>
            <a:ext uri="{FF2B5EF4-FFF2-40B4-BE49-F238E27FC236}">
              <a16:creationId xmlns:a16="http://schemas.microsoft.com/office/drawing/2014/main" id="{00000000-0008-0000-0100-000084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13" name="Text Box 63">
          <a:extLst>
            <a:ext uri="{FF2B5EF4-FFF2-40B4-BE49-F238E27FC236}">
              <a16:creationId xmlns:a16="http://schemas.microsoft.com/office/drawing/2014/main" id="{00000000-0008-0000-0100-000085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14" name="Text Box 3">
          <a:extLst>
            <a:ext uri="{FF2B5EF4-FFF2-40B4-BE49-F238E27FC236}">
              <a16:creationId xmlns:a16="http://schemas.microsoft.com/office/drawing/2014/main" id="{00000000-0008-0000-0100-000086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15" name="Text Box 32">
          <a:extLst>
            <a:ext uri="{FF2B5EF4-FFF2-40B4-BE49-F238E27FC236}">
              <a16:creationId xmlns:a16="http://schemas.microsoft.com/office/drawing/2014/main" id="{00000000-0008-0000-0100-000087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16" name="Text Box 3">
          <a:extLst>
            <a:ext uri="{FF2B5EF4-FFF2-40B4-BE49-F238E27FC236}">
              <a16:creationId xmlns:a16="http://schemas.microsoft.com/office/drawing/2014/main" id="{00000000-0008-0000-0100-000088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17" name="Text Box 63">
          <a:extLst>
            <a:ext uri="{FF2B5EF4-FFF2-40B4-BE49-F238E27FC236}">
              <a16:creationId xmlns:a16="http://schemas.microsoft.com/office/drawing/2014/main" id="{00000000-0008-0000-0100-000089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18" name="Text Box 3">
          <a:extLst>
            <a:ext uri="{FF2B5EF4-FFF2-40B4-BE49-F238E27FC236}">
              <a16:creationId xmlns:a16="http://schemas.microsoft.com/office/drawing/2014/main" id="{00000000-0008-0000-0100-00008A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19" name="Text Box 32">
          <a:extLst>
            <a:ext uri="{FF2B5EF4-FFF2-40B4-BE49-F238E27FC236}">
              <a16:creationId xmlns:a16="http://schemas.microsoft.com/office/drawing/2014/main" id="{00000000-0008-0000-0100-00008B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20" name="Text Box 3">
          <a:extLst>
            <a:ext uri="{FF2B5EF4-FFF2-40B4-BE49-F238E27FC236}">
              <a16:creationId xmlns:a16="http://schemas.microsoft.com/office/drawing/2014/main" id="{00000000-0008-0000-0100-00008C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21" name="Text Box 63">
          <a:extLst>
            <a:ext uri="{FF2B5EF4-FFF2-40B4-BE49-F238E27FC236}">
              <a16:creationId xmlns:a16="http://schemas.microsoft.com/office/drawing/2014/main" id="{00000000-0008-0000-0100-00008D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22" name="Text Box 3">
          <a:extLst>
            <a:ext uri="{FF2B5EF4-FFF2-40B4-BE49-F238E27FC236}">
              <a16:creationId xmlns:a16="http://schemas.microsoft.com/office/drawing/2014/main" id="{00000000-0008-0000-0100-00008E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23" name="Text Box 32">
          <a:extLst>
            <a:ext uri="{FF2B5EF4-FFF2-40B4-BE49-F238E27FC236}">
              <a16:creationId xmlns:a16="http://schemas.microsoft.com/office/drawing/2014/main" id="{00000000-0008-0000-0100-00008F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24" name="Text Box 3">
          <a:extLst>
            <a:ext uri="{FF2B5EF4-FFF2-40B4-BE49-F238E27FC236}">
              <a16:creationId xmlns:a16="http://schemas.microsoft.com/office/drawing/2014/main" id="{00000000-0008-0000-0100-000090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25" name="Text Box 63">
          <a:extLst>
            <a:ext uri="{FF2B5EF4-FFF2-40B4-BE49-F238E27FC236}">
              <a16:creationId xmlns:a16="http://schemas.microsoft.com/office/drawing/2014/main" id="{00000000-0008-0000-0100-000091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26" name="Text Box 3">
          <a:extLst>
            <a:ext uri="{FF2B5EF4-FFF2-40B4-BE49-F238E27FC236}">
              <a16:creationId xmlns:a16="http://schemas.microsoft.com/office/drawing/2014/main" id="{00000000-0008-0000-0100-000092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27" name="Text Box 32">
          <a:extLst>
            <a:ext uri="{FF2B5EF4-FFF2-40B4-BE49-F238E27FC236}">
              <a16:creationId xmlns:a16="http://schemas.microsoft.com/office/drawing/2014/main" id="{00000000-0008-0000-0100-000093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28" name="Text Box 3">
          <a:extLst>
            <a:ext uri="{FF2B5EF4-FFF2-40B4-BE49-F238E27FC236}">
              <a16:creationId xmlns:a16="http://schemas.microsoft.com/office/drawing/2014/main" id="{00000000-0008-0000-0100-000094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29" name="Text Box 63">
          <a:extLst>
            <a:ext uri="{FF2B5EF4-FFF2-40B4-BE49-F238E27FC236}">
              <a16:creationId xmlns:a16="http://schemas.microsoft.com/office/drawing/2014/main" id="{00000000-0008-0000-0100-000095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30" name="Text Box 3">
          <a:extLst>
            <a:ext uri="{FF2B5EF4-FFF2-40B4-BE49-F238E27FC236}">
              <a16:creationId xmlns:a16="http://schemas.microsoft.com/office/drawing/2014/main" id="{00000000-0008-0000-0100-000096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31" name="Text Box 32">
          <a:extLst>
            <a:ext uri="{FF2B5EF4-FFF2-40B4-BE49-F238E27FC236}">
              <a16:creationId xmlns:a16="http://schemas.microsoft.com/office/drawing/2014/main" id="{00000000-0008-0000-0100-000097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32" name="Text Box 3">
          <a:extLst>
            <a:ext uri="{FF2B5EF4-FFF2-40B4-BE49-F238E27FC236}">
              <a16:creationId xmlns:a16="http://schemas.microsoft.com/office/drawing/2014/main" id="{00000000-0008-0000-0100-000098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33" name="Text Box 63">
          <a:extLst>
            <a:ext uri="{FF2B5EF4-FFF2-40B4-BE49-F238E27FC236}">
              <a16:creationId xmlns:a16="http://schemas.microsoft.com/office/drawing/2014/main" id="{00000000-0008-0000-0100-000099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34" name="Text Box 3">
          <a:extLst>
            <a:ext uri="{FF2B5EF4-FFF2-40B4-BE49-F238E27FC236}">
              <a16:creationId xmlns:a16="http://schemas.microsoft.com/office/drawing/2014/main" id="{00000000-0008-0000-0100-00009A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35" name="Text Box 32">
          <a:extLst>
            <a:ext uri="{FF2B5EF4-FFF2-40B4-BE49-F238E27FC236}">
              <a16:creationId xmlns:a16="http://schemas.microsoft.com/office/drawing/2014/main" id="{00000000-0008-0000-0100-00009B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36" name="Text Box 3">
          <a:extLst>
            <a:ext uri="{FF2B5EF4-FFF2-40B4-BE49-F238E27FC236}">
              <a16:creationId xmlns:a16="http://schemas.microsoft.com/office/drawing/2014/main" id="{00000000-0008-0000-0100-00009C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37" name="Text Box 63">
          <a:extLst>
            <a:ext uri="{FF2B5EF4-FFF2-40B4-BE49-F238E27FC236}">
              <a16:creationId xmlns:a16="http://schemas.microsoft.com/office/drawing/2014/main" id="{00000000-0008-0000-0100-00009D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38" name="Text Box 3">
          <a:extLst>
            <a:ext uri="{FF2B5EF4-FFF2-40B4-BE49-F238E27FC236}">
              <a16:creationId xmlns:a16="http://schemas.microsoft.com/office/drawing/2014/main" id="{00000000-0008-0000-0100-00009E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39" name="Text Box 32">
          <a:extLst>
            <a:ext uri="{FF2B5EF4-FFF2-40B4-BE49-F238E27FC236}">
              <a16:creationId xmlns:a16="http://schemas.microsoft.com/office/drawing/2014/main" id="{00000000-0008-0000-0100-00009F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40" name="Text Box 3">
          <a:extLst>
            <a:ext uri="{FF2B5EF4-FFF2-40B4-BE49-F238E27FC236}">
              <a16:creationId xmlns:a16="http://schemas.microsoft.com/office/drawing/2014/main" id="{00000000-0008-0000-0100-0000A0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41" name="Text Box 63">
          <a:extLst>
            <a:ext uri="{FF2B5EF4-FFF2-40B4-BE49-F238E27FC236}">
              <a16:creationId xmlns:a16="http://schemas.microsoft.com/office/drawing/2014/main" id="{00000000-0008-0000-0100-0000A1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42" name="Text Box 3">
          <a:extLst>
            <a:ext uri="{FF2B5EF4-FFF2-40B4-BE49-F238E27FC236}">
              <a16:creationId xmlns:a16="http://schemas.microsoft.com/office/drawing/2014/main" id="{00000000-0008-0000-0100-0000A2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43" name="Text Box 32">
          <a:extLst>
            <a:ext uri="{FF2B5EF4-FFF2-40B4-BE49-F238E27FC236}">
              <a16:creationId xmlns:a16="http://schemas.microsoft.com/office/drawing/2014/main" id="{00000000-0008-0000-0100-0000A3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44" name="Text Box 3">
          <a:extLst>
            <a:ext uri="{FF2B5EF4-FFF2-40B4-BE49-F238E27FC236}">
              <a16:creationId xmlns:a16="http://schemas.microsoft.com/office/drawing/2014/main" id="{00000000-0008-0000-0100-0000A4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45" name="Text Box 63">
          <a:extLst>
            <a:ext uri="{FF2B5EF4-FFF2-40B4-BE49-F238E27FC236}">
              <a16:creationId xmlns:a16="http://schemas.microsoft.com/office/drawing/2014/main" id="{00000000-0008-0000-0100-0000A5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46" name="Text Box 3">
          <a:extLst>
            <a:ext uri="{FF2B5EF4-FFF2-40B4-BE49-F238E27FC236}">
              <a16:creationId xmlns:a16="http://schemas.microsoft.com/office/drawing/2014/main" id="{00000000-0008-0000-0100-0000A6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47" name="Text Box 32">
          <a:extLst>
            <a:ext uri="{FF2B5EF4-FFF2-40B4-BE49-F238E27FC236}">
              <a16:creationId xmlns:a16="http://schemas.microsoft.com/office/drawing/2014/main" id="{00000000-0008-0000-0100-0000A7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48" name="Text Box 3">
          <a:extLst>
            <a:ext uri="{FF2B5EF4-FFF2-40B4-BE49-F238E27FC236}">
              <a16:creationId xmlns:a16="http://schemas.microsoft.com/office/drawing/2014/main" id="{00000000-0008-0000-0100-0000A8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49" name="Text Box 63">
          <a:extLst>
            <a:ext uri="{FF2B5EF4-FFF2-40B4-BE49-F238E27FC236}">
              <a16:creationId xmlns:a16="http://schemas.microsoft.com/office/drawing/2014/main" id="{00000000-0008-0000-0100-0000A9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50" name="Text Box 3">
          <a:extLst>
            <a:ext uri="{FF2B5EF4-FFF2-40B4-BE49-F238E27FC236}">
              <a16:creationId xmlns:a16="http://schemas.microsoft.com/office/drawing/2014/main" id="{00000000-0008-0000-0100-0000AA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51" name="Text Box 32">
          <a:extLst>
            <a:ext uri="{FF2B5EF4-FFF2-40B4-BE49-F238E27FC236}">
              <a16:creationId xmlns:a16="http://schemas.microsoft.com/office/drawing/2014/main" id="{00000000-0008-0000-0100-0000AB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52" name="Text Box 3">
          <a:extLst>
            <a:ext uri="{FF2B5EF4-FFF2-40B4-BE49-F238E27FC236}">
              <a16:creationId xmlns:a16="http://schemas.microsoft.com/office/drawing/2014/main" id="{00000000-0008-0000-0100-0000AC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53" name="Text Box 63">
          <a:extLst>
            <a:ext uri="{FF2B5EF4-FFF2-40B4-BE49-F238E27FC236}">
              <a16:creationId xmlns:a16="http://schemas.microsoft.com/office/drawing/2014/main" id="{00000000-0008-0000-0100-0000AD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54" name="Text Box 3">
          <a:extLst>
            <a:ext uri="{FF2B5EF4-FFF2-40B4-BE49-F238E27FC236}">
              <a16:creationId xmlns:a16="http://schemas.microsoft.com/office/drawing/2014/main" id="{00000000-0008-0000-0100-0000AE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55" name="Text Box 32">
          <a:extLst>
            <a:ext uri="{FF2B5EF4-FFF2-40B4-BE49-F238E27FC236}">
              <a16:creationId xmlns:a16="http://schemas.microsoft.com/office/drawing/2014/main" id="{00000000-0008-0000-0100-0000AF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56" name="Text Box 3">
          <a:extLst>
            <a:ext uri="{FF2B5EF4-FFF2-40B4-BE49-F238E27FC236}">
              <a16:creationId xmlns:a16="http://schemas.microsoft.com/office/drawing/2014/main" id="{00000000-0008-0000-0100-0000B0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57" name="Text Box 63">
          <a:extLst>
            <a:ext uri="{FF2B5EF4-FFF2-40B4-BE49-F238E27FC236}">
              <a16:creationId xmlns:a16="http://schemas.microsoft.com/office/drawing/2014/main" id="{00000000-0008-0000-0100-0000B1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58" name="Text Box 3">
          <a:extLst>
            <a:ext uri="{FF2B5EF4-FFF2-40B4-BE49-F238E27FC236}">
              <a16:creationId xmlns:a16="http://schemas.microsoft.com/office/drawing/2014/main" id="{00000000-0008-0000-0100-0000B2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59" name="Text Box 32">
          <a:extLst>
            <a:ext uri="{FF2B5EF4-FFF2-40B4-BE49-F238E27FC236}">
              <a16:creationId xmlns:a16="http://schemas.microsoft.com/office/drawing/2014/main" id="{00000000-0008-0000-0100-0000B3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60" name="Text Box 3">
          <a:extLst>
            <a:ext uri="{FF2B5EF4-FFF2-40B4-BE49-F238E27FC236}">
              <a16:creationId xmlns:a16="http://schemas.microsoft.com/office/drawing/2014/main" id="{00000000-0008-0000-0100-0000B4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61" name="Text Box 63">
          <a:extLst>
            <a:ext uri="{FF2B5EF4-FFF2-40B4-BE49-F238E27FC236}">
              <a16:creationId xmlns:a16="http://schemas.microsoft.com/office/drawing/2014/main" id="{00000000-0008-0000-0100-0000B5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62" name="Text Box 3">
          <a:extLst>
            <a:ext uri="{FF2B5EF4-FFF2-40B4-BE49-F238E27FC236}">
              <a16:creationId xmlns:a16="http://schemas.microsoft.com/office/drawing/2014/main" id="{00000000-0008-0000-0100-0000B6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63" name="Text Box 32">
          <a:extLst>
            <a:ext uri="{FF2B5EF4-FFF2-40B4-BE49-F238E27FC236}">
              <a16:creationId xmlns:a16="http://schemas.microsoft.com/office/drawing/2014/main" id="{00000000-0008-0000-0100-0000B7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64" name="Text Box 3">
          <a:extLst>
            <a:ext uri="{FF2B5EF4-FFF2-40B4-BE49-F238E27FC236}">
              <a16:creationId xmlns:a16="http://schemas.microsoft.com/office/drawing/2014/main" id="{00000000-0008-0000-0100-0000B8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65" name="Text Box 63">
          <a:extLst>
            <a:ext uri="{FF2B5EF4-FFF2-40B4-BE49-F238E27FC236}">
              <a16:creationId xmlns:a16="http://schemas.microsoft.com/office/drawing/2014/main" id="{00000000-0008-0000-0100-0000B9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66" name="Text Box 3">
          <a:extLst>
            <a:ext uri="{FF2B5EF4-FFF2-40B4-BE49-F238E27FC236}">
              <a16:creationId xmlns:a16="http://schemas.microsoft.com/office/drawing/2014/main" id="{00000000-0008-0000-0100-0000BA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67" name="Text Box 32">
          <a:extLst>
            <a:ext uri="{FF2B5EF4-FFF2-40B4-BE49-F238E27FC236}">
              <a16:creationId xmlns:a16="http://schemas.microsoft.com/office/drawing/2014/main" id="{00000000-0008-0000-0100-0000BB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68" name="Text Box 3">
          <a:extLst>
            <a:ext uri="{FF2B5EF4-FFF2-40B4-BE49-F238E27FC236}">
              <a16:creationId xmlns:a16="http://schemas.microsoft.com/office/drawing/2014/main" id="{00000000-0008-0000-0100-0000BC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69" name="Text Box 63">
          <a:extLst>
            <a:ext uri="{FF2B5EF4-FFF2-40B4-BE49-F238E27FC236}">
              <a16:creationId xmlns:a16="http://schemas.microsoft.com/office/drawing/2014/main" id="{00000000-0008-0000-0100-0000BD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70" name="Text Box 3">
          <a:extLst>
            <a:ext uri="{FF2B5EF4-FFF2-40B4-BE49-F238E27FC236}">
              <a16:creationId xmlns:a16="http://schemas.microsoft.com/office/drawing/2014/main" id="{00000000-0008-0000-0100-0000BE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71" name="Text Box 32">
          <a:extLst>
            <a:ext uri="{FF2B5EF4-FFF2-40B4-BE49-F238E27FC236}">
              <a16:creationId xmlns:a16="http://schemas.microsoft.com/office/drawing/2014/main" id="{00000000-0008-0000-0100-0000BF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72" name="Text Box 3">
          <a:extLst>
            <a:ext uri="{FF2B5EF4-FFF2-40B4-BE49-F238E27FC236}">
              <a16:creationId xmlns:a16="http://schemas.microsoft.com/office/drawing/2014/main" id="{00000000-0008-0000-0100-0000C0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73" name="Text Box 63">
          <a:extLst>
            <a:ext uri="{FF2B5EF4-FFF2-40B4-BE49-F238E27FC236}">
              <a16:creationId xmlns:a16="http://schemas.microsoft.com/office/drawing/2014/main" id="{00000000-0008-0000-0100-0000C1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74" name="Text Box 3">
          <a:extLst>
            <a:ext uri="{FF2B5EF4-FFF2-40B4-BE49-F238E27FC236}">
              <a16:creationId xmlns:a16="http://schemas.microsoft.com/office/drawing/2014/main" id="{00000000-0008-0000-0100-0000C2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75" name="Text Box 32">
          <a:extLst>
            <a:ext uri="{FF2B5EF4-FFF2-40B4-BE49-F238E27FC236}">
              <a16:creationId xmlns:a16="http://schemas.microsoft.com/office/drawing/2014/main" id="{00000000-0008-0000-0100-0000C3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76" name="Text Box 3">
          <a:extLst>
            <a:ext uri="{FF2B5EF4-FFF2-40B4-BE49-F238E27FC236}">
              <a16:creationId xmlns:a16="http://schemas.microsoft.com/office/drawing/2014/main" id="{00000000-0008-0000-0100-0000C4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77" name="Text Box 63">
          <a:extLst>
            <a:ext uri="{FF2B5EF4-FFF2-40B4-BE49-F238E27FC236}">
              <a16:creationId xmlns:a16="http://schemas.microsoft.com/office/drawing/2014/main" id="{00000000-0008-0000-0100-0000C5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78" name="Text Box 3">
          <a:extLst>
            <a:ext uri="{FF2B5EF4-FFF2-40B4-BE49-F238E27FC236}">
              <a16:creationId xmlns:a16="http://schemas.microsoft.com/office/drawing/2014/main" id="{00000000-0008-0000-0100-0000C6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79" name="Text Box 32">
          <a:extLst>
            <a:ext uri="{FF2B5EF4-FFF2-40B4-BE49-F238E27FC236}">
              <a16:creationId xmlns:a16="http://schemas.microsoft.com/office/drawing/2014/main" id="{00000000-0008-0000-0100-0000C7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80" name="Text Box 3">
          <a:extLst>
            <a:ext uri="{FF2B5EF4-FFF2-40B4-BE49-F238E27FC236}">
              <a16:creationId xmlns:a16="http://schemas.microsoft.com/office/drawing/2014/main" id="{00000000-0008-0000-0100-0000C8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81" name="Text Box 63">
          <a:extLst>
            <a:ext uri="{FF2B5EF4-FFF2-40B4-BE49-F238E27FC236}">
              <a16:creationId xmlns:a16="http://schemas.microsoft.com/office/drawing/2014/main" id="{00000000-0008-0000-0100-0000C9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82" name="Text Box 3">
          <a:extLst>
            <a:ext uri="{FF2B5EF4-FFF2-40B4-BE49-F238E27FC236}">
              <a16:creationId xmlns:a16="http://schemas.microsoft.com/office/drawing/2014/main" id="{00000000-0008-0000-0100-0000CA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83" name="Text Box 32">
          <a:extLst>
            <a:ext uri="{FF2B5EF4-FFF2-40B4-BE49-F238E27FC236}">
              <a16:creationId xmlns:a16="http://schemas.microsoft.com/office/drawing/2014/main" id="{00000000-0008-0000-0100-0000CB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84" name="Text Box 3">
          <a:extLst>
            <a:ext uri="{FF2B5EF4-FFF2-40B4-BE49-F238E27FC236}">
              <a16:creationId xmlns:a16="http://schemas.microsoft.com/office/drawing/2014/main" id="{00000000-0008-0000-0100-0000CC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85" name="Text Box 63">
          <a:extLst>
            <a:ext uri="{FF2B5EF4-FFF2-40B4-BE49-F238E27FC236}">
              <a16:creationId xmlns:a16="http://schemas.microsoft.com/office/drawing/2014/main" id="{00000000-0008-0000-0100-0000CD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86" name="Text Box 3">
          <a:extLst>
            <a:ext uri="{FF2B5EF4-FFF2-40B4-BE49-F238E27FC236}">
              <a16:creationId xmlns:a16="http://schemas.microsoft.com/office/drawing/2014/main" id="{00000000-0008-0000-0100-0000CE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87" name="Text Box 32">
          <a:extLst>
            <a:ext uri="{FF2B5EF4-FFF2-40B4-BE49-F238E27FC236}">
              <a16:creationId xmlns:a16="http://schemas.microsoft.com/office/drawing/2014/main" id="{00000000-0008-0000-0100-0000CF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88" name="Text Box 3">
          <a:extLst>
            <a:ext uri="{FF2B5EF4-FFF2-40B4-BE49-F238E27FC236}">
              <a16:creationId xmlns:a16="http://schemas.microsoft.com/office/drawing/2014/main" id="{00000000-0008-0000-0100-0000D0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89" name="Text Box 63">
          <a:extLst>
            <a:ext uri="{FF2B5EF4-FFF2-40B4-BE49-F238E27FC236}">
              <a16:creationId xmlns:a16="http://schemas.microsoft.com/office/drawing/2014/main" id="{00000000-0008-0000-0100-0000D1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90" name="Text Box 3">
          <a:extLst>
            <a:ext uri="{FF2B5EF4-FFF2-40B4-BE49-F238E27FC236}">
              <a16:creationId xmlns:a16="http://schemas.microsoft.com/office/drawing/2014/main" id="{00000000-0008-0000-0100-0000D2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91" name="Text Box 32">
          <a:extLst>
            <a:ext uri="{FF2B5EF4-FFF2-40B4-BE49-F238E27FC236}">
              <a16:creationId xmlns:a16="http://schemas.microsoft.com/office/drawing/2014/main" id="{00000000-0008-0000-0100-0000D3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92" name="Text Box 3">
          <a:extLst>
            <a:ext uri="{FF2B5EF4-FFF2-40B4-BE49-F238E27FC236}">
              <a16:creationId xmlns:a16="http://schemas.microsoft.com/office/drawing/2014/main" id="{00000000-0008-0000-0100-0000D4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93" name="Text Box 63">
          <a:extLst>
            <a:ext uri="{FF2B5EF4-FFF2-40B4-BE49-F238E27FC236}">
              <a16:creationId xmlns:a16="http://schemas.microsoft.com/office/drawing/2014/main" id="{00000000-0008-0000-0100-0000D5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94" name="Text Box 3">
          <a:extLst>
            <a:ext uri="{FF2B5EF4-FFF2-40B4-BE49-F238E27FC236}">
              <a16:creationId xmlns:a16="http://schemas.microsoft.com/office/drawing/2014/main" id="{00000000-0008-0000-0100-0000D6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95" name="Text Box 32">
          <a:extLst>
            <a:ext uri="{FF2B5EF4-FFF2-40B4-BE49-F238E27FC236}">
              <a16:creationId xmlns:a16="http://schemas.microsoft.com/office/drawing/2014/main" id="{00000000-0008-0000-0100-0000D7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96" name="Text Box 3">
          <a:extLst>
            <a:ext uri="{FF2B5EF4-FFF2-40B4-BE49-F238E27FC236}">
              <a16:creationId xmlns:a16="http://schemas.microsoft.com/office/drawing/2014/main" id="{00000000-0008-0000-0100-0000D8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97" name="Text Box 63">
          <a:extLst>
            <a:ext uri="{FF2B5EF4-FFF2-40B4-BE49-F238E27FC236}">
              <a16:creationId xmlns:a16="http://schemas.microsoft.com/office/drawing/2014/main" id="{00000000-0008-0000-0100-0000D9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498" name="Text Box 3">
          <a:extLst>
            <a:ext uri="{FF2B5EF4-FFF2-40B4-BE49-F238E27FC236}">
              <a16:creationId xmlns:a16="http://schemas.microsoft.com/office/drawing/2014/main" id="{00000000-0008-0000-0100-0000DA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499" name="Text Box 32">
          <a:extLst>
            <a:ext uri="{FF2B5EF4-FFF2-40B4-BE49-F238E27FC236}">
              <a16:creationId xmlns:a16="http://schemas.microsoft.com/office/drawing/2014/main" id="{00000000-0008-0000-0100-0000DB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00" name="Text Box 3">
          <a:extLst>
            <a:ext uri="{FF2B5EF4-FFF2-40B4-BE49-F238E27FC236}">
              <a16:creationId xmlns:a16="http://schemas.microsoft.com/office/drawing/2014/main" id="{00000000-0008-0000-0100-0000DC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01" name="Text Box 63">
          <a:extLst>
            <a:ext uri="{FF2B5EF4-FFF2-40B4-BE49-F238E27FC236}">
              <a16:creationId xmlns:a16="http://schemas.microsoft.com/office/drawing/2014/main" id="{00000000-0008-0000-0100-0000DD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02" name="Text Box 3">
          <a:extLst>
            <a:ext uri="{FF2B5EF4-FFF2-40B4-BE49-F238E27FC236}">
              <a16:creationId xmlns:a16="http://schemas.microsoft.com/office/drawing/2014/main" id="{00000000-0008-0000-0100-0000DE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03" name="Text Box 32">
          <a:extLst>
            <a:ext uri="{FF2B5EF4-FFF2-40B4-BE49-F238E27FC236}">
              <a16:creationId xmlns:a16="http://schemas.microsoft.com/office/drawing/2014/main" id="{00000000-0008-0000-0100-0000DF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04" name="Text Box 3">
          <a:extLst>
            <a:ext uri="{FF2B5EF4-FFF2-40B4-BE49-F238E27FC236}">
              <a16:creationId xmlns:a16="http://schemas.microsoft.com/office/drawing/2014/main" id="{00000000-0008-0000-0100-0000E0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05" name="Text Box 63">
          <a:extLst>
            <a:ext uri="{FF2B5EF4-FFF2-40B4-BE49-F238E27FC236}">
              <a16:creationId xmlns:a16="http://schemas.microsoft.com/office/drawing/2014/main" id="{00000000-0008-0000-0100-0000E1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06" name="Text Box 3">
          <a:extLst>
            <a:ext uri="{FF2B5EF4-FFF2-40B4-BE49-F238E27FC236}">
              <a16:creationId xmlns:a16="http://schemas.microsoft.com/office/drawing/2014/main" id="{00000000-0008-0000-0100-0000E2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07" name="Text Box 32">
          <a:extLst>
            <a:ext uri="{FF2B5EF4-FFF2-40B4-BE49-F238E27FC236}">
              <a16:creationId xmlns:a16="http://schemas.microsoft.com/office/drawing/2014/main" id="{00000000-0008-0000-0100-0000E3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08" name="Text Box 3">
          <a:extLst>
            <a:ext uri="{FF2B5EF4-FFF2-40B4-BE49-F238E27FC236}">
              <a16:creationId xmlns:a16="http://schemas.microsoft.com/office/drawing/2014/main" id="{00000000-0008-0000-0100-0000E4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09" name="Text Box 63">
          <a:extLst>
            <a:ext uri="{FF2B5EF4-FFF2-40B4-BE49-F238E27FC236}">
              <a16:creationId xmlns:a16="http://schemas.microsoft.com/office/drawing/2014/main" id="{00000000-0008-0000-0100-0000E5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10" name="Text Box 3">
          <a:extLst>
            <a:ext uri="{FF2B5EF4-FFF2-40B4-BE49-F238E27FC236}">
              <a16:creationId xmlns:a16="http://schemas.microsoft.com/office/drawing/2014/main" id="{00000000-0008-0000-0100-0000E6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11" name="Text Box 32">
          <a:extLst>
            <a:ext uri="{FF2B5EF4-FFF2-40B4-BE49-F238E27FC236}">
              <a16:creationId xmlns:a16="http://schemas.microsoft.com/office/drawing/2014/main" id="{00000000-0008-0000-0100-0000E7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12" name="Text Box 3">
          <a:extLst>
            <a:ext uri="{FF2B5EF4-FFF2-40B4-BE49-F238E27FC236}">
              <a16:creationId xmlns:a16="http://schemas.microsoft.com/office/drawing/2014/main" id="{00000000-0008-0000-0100-0000E8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13" name="Text Box 63">
          <a:extLst>
            <a:ext uri="{FF2B5EF4-FFF2-40B4-BE49-F238E27FC236}">
              <a16:creationId xmlns:a16="http://schemas.microsoft.com/office/drawing/2014/main" id="{00000000-0008-0000-0100-0000E9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14" name="Text Box 3">
          <a:extLst>
            <a:ext uri="{FF2B5EF4-FFF2-40B4-BE49-F238E27FC236}">
              <a16:creationId xmlns:a16="http://schemas.microsoft.com/office/drawing/2014/main" id="{00000000-0008-0000-0100-0000EA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15" name="Text Box 32">
          <a:extLst>
            <a:ext uri="{FF2B5EF4-FFF2-40B4-BE49-F238E27FC236}">
              <a16:creationId xmlns:a16="http://schemas.microsoft.com/office/drawing/2014/main" id="{00000000-0008-0000-0100-0000EB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16" name="Text Box 3">
          <a:extLst>
            <a:ext uri="{FF2B5EF4-FFF2-40B4-BE49-F238E27FC236}">
              <a16:creationId xmlns:a16="http://schemas.microsoft.com/office/drawing/2014/main" id="{00000000-0008-0000-0100-0000EC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17" name="Text Box 63">
          <a:extLst>
            <a:ext uri="{FF2B5EF4-FFF2-40B4-BE49-F238E27FC236}">
              <a16:creationId xmlns:a16="http://schemas.microsoft.com/office/drawing/2014/main" id="{00000000-0008-0000-0100-0000ED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18" name="Text Box 3">
          <a:extLst>
            <a:ext uri="{FF2B5EF4-FFF2-40B4-BE49-F238E27FC236}">
              <a16:creationId xmlns:a16="http://schemas.microsoft.com/office/drawing/2014/main" id="{00000000-0008-0000-0100-0000EE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19" name="Text Box 32">
          <a:extLst>
            <a:ext uri="{FF2B5EF4-FFF2-40B4-BE49-F238E27FC236}">
              <a16:creationId xmlns:a16="http://schemas.microsoft.com/office/drawing/2014/main" id="{00000000-0008-0000-0100-0000EF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20" name="Text Box 3">
          <a:extLst>
            <a:ext uri="{FF2B5EF4-FFF2-40B4-BE49-F238E27FC236}">
              <a16:creationId xmlns:a16="http://schemas.microsoft.com/office/drawing/2014/main" id="{00000000-0008-0000-0100-0000F0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21" name="Text Box 63">
          <a:extLst>
            <a:ext uri="{FF2B5EF4-FFF2-40B4-BE49-F238E27FC236}">
              <a16:creationId xmlns:a16="http://schemas.microsoft.com/office/drawing/2014/main" id="{00000000-0008-0000-0100-0000F1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22" name="Text Box 3">
          <a:extLst>
            <a:ext uri="{FF2B5EF4-FFF2-40B4-BE49-F238E27FC236}">
              <a16:creationId xmlns:a16="http://schemas.microsoft.com/office/drawing/2014/main" id="{00000000-0008-0000-0100-0000F2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23" name="Text Box 32">
          <a:extLst>
            <a:ext uri="{FF2B5EF4-FFF2-40B4-BE49-F238E27FC236}">
              <a16:creationId xmlns:a16="http://schemas.microsoft.com/office/drawing/2014/main" id="{00000000-0008-0000-0100-0000F3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24" name="Text Box 3">
          <a:extLst>
            <a:ext uri="{FF2B5EF4-FFF2-40B4-BE49-F238E27FC236}">
              <a16:creationId xmlns:a16="http://schemas.microsoft.com/office/drawing/2014/main" id="{00000000-0008-0000-0100-0000F405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25" name="Text Box 63">
          <a:extLst>
            <a:ext uri="{FF2B5EF4-FFF2-40B4-BE49-F238E27FC236}">
              <a16:creationId xmlns:a16="http://schemas.microsoft.com/office/drawing/2014/main" id="{00000000-0008-0000-0100-0000F505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371</xdr:row>
      <xdr:rowOff>0</xdr:rowOff>
    </xdr:from>
    <xdr:to>
      <xdr:col>1</xdr:col>
      <xdr:colOff>1409700</xdr:colOff>
      <xdr:row>372</xdr:row>
      <xdr:rowOff>95250</xdr:rowOff>
    </xdr:to>
    <xdr:sp macro="" textlink="">
      <xdr:nvSpPr>
        <xdr:cNvPr id="1526" name="Text Box 8">
          <a:extLst>
            <a:ext uri="{FF2B5EF4-FFF2-40B4-BE49-F238E27FC236}">
              <a16:creationId xmlns:a16="http://schemas.microsoft.com/office/drawing/2014/main" id="{00000000-0008-0000-0100-0000F6050000}"/>
            </a:ext>
          </a:extLst>
        </xdr:cNvPr>
        <xdr:cNvSpPr txBox="1">
          <a:spLocks noChangeArrowheads="1"/>
        </xdr:cNvSpPr>
      </xdr:nvSpPr>
      <xdr:spPr bwMode="auto">
        <a:xfrm>
          <a:off x="1914525" y="775335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371</xdr:row>
      <xdr:rowOff>0</xdr:rowOff>
    </xdr:from>
    <xdr:to>
      <xdr:col>1</xdr:col>
      <xdr:colOff>1409700</xdr:colOff>
      <xdr:row>372</xdr:row>
      <xdr:rowOff>95250</xdr:rowOff>
    </xdr:to>
    <xdr:sp macro="" textlink="">
      <xdr:nvSpPr>
        <xdr:cNvPr id="1527" name="Text Box 9">
          <a:extLst>
            <a:ext uri="{FF2B5EF4-FFF2-40B4-BE49-F238E27FC236}">
              <a16:creationId xmlns:a16="http://schemas.microsoft.com/office/drawing/2014/main" id="{00000000-0008-0000-0100-0000F7050000}"/>
            </a:ext>
          </a:extLst>
        </xdr:cNvPr>
        <xdr:cNvSpPr txBox="1">
          <a:spLocks noChangeArrowheads="1"/>
        </xdr:cNvSpPr>
      </xdr:nvSpPr>
      <xdr:spPr bwMode="auto">
        <a:xfrm>
          <a:off x="1914525" y="775335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371</xdr:row>
      <xdr:rowOff>0</xdr:rowOff>
    </xdr:from>
    <xdr:to>
      <xdr:col>1</xdr:col>
      <xdr:colOff>1409700</xdr:colOff>
      <xdr:row>372</xdr:row>
      <xdr:rowOff>85725</xdr:rowOff>
    </xdr:to>
    <xdr:sp macro="" textlink="">
      <xdr:nvSpPr>
        <xdr:cNvPr id="1528" name="Text Box 8">
          <a:extLst>
            <a:ext uri="{FF2B5EF4-FFF2-40B4-BE49-F238E27FC236}">
              <a16:creationId xmlns:a16="http://schemas.microsoft.com/office/drawing/2014/main" id="{00000000-0008-0000-0100-0000F8050000}"/>
            </a:ext>
          </a:extLst>
        </xdr:cNvPr>
        <xdr:cNvSpPr txBox="1">
          <a:spLocks noChangeArrowheads="1"/>
        </xdr:cNvSpPr>
      </xdr:nvSpPr>
      <xdr:spPr bwMode="auto">
        <a:xfrm>
          <a:off x="1914525" y="7753350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371</xdr:row>
      <xdr:rowOff>0</xdr:rowOff>
    </xdr:from>
    <xdr:to>
      <xdr:col>1</xdr:col>
      <xdr:colOff>1409700</xdr:colOff>
      <xdr:row>372</xdr:row>
      <xdr:rowOff>85725</xdr:rowOff>
    </xdr:to>
    <xdr:sp macro="" textlink="">
      <xdr:nvSpPr>
        <xdr:cNvPr id="1529" name="Text Box 9">
          <a:extLst>
            <a:ext uri="{FF2B5EF4-FFF2-40B4-BE49-F238E27FC236}">
              <a16:creationId xmlns:a16="http://schemas.microsoft.com/office/drawing/2014/main" id="{00000000-0008-0000-0100-0000F9050000}"/>
            </a:ext>
          </a:extLst>
        </xdr:cNvPr>
        <xdr:cNvSpPr txBox="1">
          <a:spLocks noChangeArrowheads="1"/>
        </xdr:cNvSpPr>
      </xdr:nvSpPr>
      <xdr:spPr bwMode="auto">
        <a:xfrm>
          <a:off x="1914525" y="7753350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371</xdr:row>
      <xdr:rowOff>0</xdr:rowOff>
    </xdr:from>
    <xdr:to>
      <xdr:col>1</xdr:col>
      <xdr:colOff>1409700</xdr:colOff>
      <xdr:row>372</xdr:row>
      <xdr:rowOff>66675</xdr:rowOff>
    </xdr:to>
    <xdr:sp macro="" textlink="">
      <xdr:nvSpPr>
        <xdr:cNvPr id="1530" name="Text Box 8">
          <a:extLst>
            <a:ext uri="{FF2B5EF4-FFF2-40B4-BE49-F238E27FC236}">
              <a16:creationId xmlns:a16="http://schemas.microsoft.com/office/drawing/2014/main" id="{00000000-0008-0000-0100-0000FA050000}"/>
            </a:ext>
          </a:extLst>
        </xdr:cNvPr>
        <xdr:cNvSpPr txBox="1">
          <a:spLocks noChangeArrowheads="1"/>
        </xdr:cNvSpPr>
      </xdr:nvSpPr>
      <xdr:spPr bwMode="auto">
        <a:xfrm>
          <a:off x="1914525" y="775335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371</xdr:row>
      <xdr:rowOff>0</xdr:rowOff>
    </xdr:from>
    <xdr:to>
      <xdr:col>1</xdr:col>
      <xdr:colOff>1409700</xdr:colOff>
      <xdr:row>372</xdr:row>
      <xdr:rowOff>66675</xdr:rowOff>
    </xdr:to>
    <xdr:sp macro="" textlink="">
      <xdr:nvSpPr>
        <xdr:cNvPr id="1531" name="Text Box 9">
          <a:extLst>
            <a:ext uri="{FF2B5EF4-FFF2-40B4-BE49-F238E27FC236}">
              <a16:creationId xmlns:a16="http://schemas.microsoft.com/office/drawing/2014/main" id="{00000000-0008-0000-0100-0000FB050000}"/>
            </a:ext>
          </a:extLst>
        </xdr:cNvPr>
        <xdr:cNvSpPr txBox="1">
          <a:spLocks noChangeArrowheads="1"/>
        </xdr:cNvSpPr>
      </xdr:nvSpPr>
      <xdr:spPr bwMode="auto">
        <a:xfrm>
          <a:off x="1914525" y="775335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1304925</xdr:colOff>
      <xdr:row>351</xdr:row>
      <xdr:rowOff>0</xdr:rowOff>
    </xdr:from>
    <xdr:ext cx="6687" cy="344556"/>
    <xdr:sp macro="" textlink="">
      <xdr:nvSpPr>
        <xdr:cNvPr id="1536" name="Text Box 9">
          <a:extLst>
            <a:ext uri="{FF2B5EF4-FFF2-40B4-BE49-F238E27FC236}">
              <a16:creationId xmlns:a16="http://schemas.microsoft.com/office/drawing/2014/main" id="{00000000-0008-0000-0100-000000060000}"/>
            </a:ext>
          </a:extLst>
        </xdr:cNvPr>
        <xdr:cNvSpPr txBox="1">
          <a:spLocks noChangeArrowheads="1"/>
        </xdr:cNvSpPr>
      </xdr:nvSpPr>
      <xdr:spPr bwMode="auto">
        <a:xfrm>
          <a:off x="1914525" y="74399775"/>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27411"/>
    <xdr:sp macro="" textlink="">
      <xdr:nvSpPr>
        <xdr:cNvPr id="1537" name="Text Box 8">
          <a:extLst>
            <a:ext uri="{FF2B5EF4-FFF2-40B4-BE49-F238E27FC236}">
              <a16:creationId xmlns:a16="http://schemas.microsoft.com/office/drawing/2014/main" id="{00000000-0008-0000-0100-000001060000}"/>
            </a:ext>
          </a:extLst>
        </xdr:cNvPr>
        <xdr:cNvSpPr txBox="1">
          <a:spLocks noChangeArrowheads="1"/>
        </xdr:cNvSpPr>
      </xdr:nvSpPr>
      <xdr:spPr bwMode="auto">
        <a:xfrm>
          <a:off x="1914525" y="743997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27411"/>
    <xdr:sp macro="" textlink="">
      <xdr:nvSpPr>
        <xdr:cNvPr id="1538" name="Text Box 9">
          <a:extLst>
            <a:ext uri="{FF2B5EF4-FFF2-40B4-BE49-F238E27FC236}">
              <a16:creationId xmlns:a16="http://schemas.microsoft.com/office/drawing/2014/main" id="{00000000-0008-0000-0100-000002060000}"/>
            </a:ext>
          </a:extLst>
        </xdr:cNvPr>
        <xdr:cNvSpPr txBox="1">
          <a:spLocks noChangeArrowheads="1"/>
        </xdr:cNvSpPr>
      </xdr:nvSpPr>
      <xdr:spPr bwMode="auto">
        <a:xfrm>
          <a:off x="1914525" y="743997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44556"/>
    <xdr:sp macro="" textlink="">
      <xdr:nvSpPr>
        <xdr:cNvPr id="1539" name="Text Box 8">
          <a:extLst>
            <a:ext uri="{FF2B5EF4-FFF2-40B4-BE49-F238E27FC236}">
              <a16:creationId xmlns:a16="http://schemas.microsoft.com/office/drawing/2014/main" id="{00000000-0008-0000-0100-000003060000}"/>
            </a:ext>
          </a:extLst>
        </xdr:cNvPr>
        <xdr:cNvSpPr txBox="1">
          <a:spLocks noChangeArrowheads="1"/>
        </xdr:cNvSpPr>
      </xdr:nvSpPr>
      <xdr:spPr bwMode="auto">
        <a:xfrm>
          <a:off x="1914525" y="74399775"/>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44556"/>
    <xdr:sp macro="" textlink="">
      <xdr:nvSpPr>
        <xdr:cNvPr id="1540" name="Text Box 9">
          <a:extLst>
            <a:ext uri="{FF2B5EF4-FFF2-40B4-BE49-F238E27FC236}">
              <a16:creationId xmlns:a16="http://schemas.microsoft.com/office/drawing/2014/main" id="{00000000-0008-0000-0100-000004060000}"/>
            </a:ext>
          </a:extLst>
        </xdr:cNvPr>
        <xdr:cNvSpPr txBox="1">
          <a:spLocks noChangeArrowheads="1"/>
        </xdr:cNvSpPr>
      </xdr:nvSpPr>
      <xdr:spPr bwMode="auto">
        <a:xfrm>
          <a:off x="1914525" y="74399775"/>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27411"/>
    <xdr:sp macro="" textlink="">
      <xdr:nvSpPr>
        <xdr:cNvPr id="1541" name="Text Box 8">
          <a:extLst>
            <a:ext uri="{FF2B5EF4-FFF2-40B4-BE49-F238E27FC236}">
              <a16:creationId xmlns:a16="http://schemas.microsoft.com/office/drawing/2014/main" id="{00000000-0008-0000-0100-000005060000}"/>
            </a:ext>
          </a:extLst>
        </xdr:cNvPr>
        <xdr:cNvSpPr txBox="1">
          <a:spLocks noChangeArrowheads="1"/>
        </xdr:cNvSpPr>
      </xdr:nvSpPr>
      <xdr:spPr bwMode="auto">
        <a:xfrm>
          <a:off x="1914525" y="743997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351</xdr:row>
      <xdr:rowOff>0</xdr:rowOff>
    </xdr:from>
    <xdr:ext cx="6687" cy="327411"/>
    <xdr:sp macro="" textlink="">
      <xdr:nvSpPr>
        <xdr:cNvPr id="1542" name="Text Box 9">
          <a:extLst>
            <a:ext uri="{FF2B5EF4-FFF2-40B4-BE49-F238E27FC236}">
              <a16:creationId xmlns:a16="http://schemas.microsoft.com/office/drawing/2014/main" id="{00000000-0008-0000-0100-000006060000}"/>
            </a:ext>
          </a:extLst>
        </xdr:cNvPr>
        <xdr:cNvSpPr txBox="1">
          <a:spLocks noChangeArrowheads="1"/>
        </xdr:cNvSpPr>
      </xdr:nvSpPr>
      <xdr:spPr bwMode="auto">
        <a:xfrm>
          <a:off x="1914525" y="743997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342</xdr:row>
      <xdr:rowOff>0</xdr:rowOff>
    </xdr:from>
    <xdr:ext cx="6687" cy="344556"/>
    <xdr:sp macro="" textlink="">
      <xdr:nvSpPr>
        <xdr:cNvPr id="1543" name="Text Box 9">
          <a:extLst>
            <a:ext uri="{FF2B5EF4-FFF2-40B4-BE49-F238E27FC236}">
              <a16:creationId xmlns:a16="http://schemas.microsoft.com/office/drawing/2014/main" id="{00000000-0008-0000-0100-000007060000}"/>
            </a:ext>
          </a:extLst>
        </xdr:cNvPr>
        <xdr:cNvSpPr txBox="1">
          <a:spLocks noChangeArrowheads="1"/>
        </xdr:cNvSpPr>
      </xdr:nvSpPr>
      <xdr:spPr bwMode="auto">
        <a:xfrm>
          <a:off x="1914525" y="72294750"/>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342</xdr:row>
      <xdr:rowOff>0</xdr:rowOff>
    </xdr:from>
    <xdr:ext cx="6687" cy="327411"/>
    <xdr:sp macro="" textlink="">
      <xdr:nvSpPr>
        <xdr:cNvPr id="1544" name="Text Box 8">
          <a:extLst>
            <a:ext uri="{FF2B5EF4-FFF2-40B4-BE49-F238E27FC236}">
              <a16:creationId xmlns:a16="http://schemas.microsoft.com/office/drawing/2014/main" id="{00000000-0008-0000-0100-000008060000}"/>
            </a:ext>
          </a:extLst>
        </xdr:cNvPr>
        <xdr:cNvSpPr txBox="1">
          <a:spLocks noChangeArrowheads="1"/>
        </xdr:cNvSpPr>
      </xdr:nvSpPr>
      <xdr:spPr bwMode="auto">
        <a:xfrm>
          <a:off x="1914525" y="72294750"/>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342</xdr:row>
      <xdr:rowOff>0</xdr:rowOff>
    </xdr:from>
    <xdr:ext cx="6687" cy="327411"/>
    <xdr:sp macro="" textlink="">
      <xdr:nvSpPr>
        <xdr:cNvPr id="1545" name="Text Box 9">
          <a:extLst>
            <a:ext uri="{FF2B5EF4-FFF2-40B4-BE49-F238E27FC236}">
              <a16:creationId xmlns:a16="http://schemas.microsoft.com/office/drawing/2014/main" id="{00000000-0008-0000-0100-000009060000}"/>
            </a:ext>
          </a:extLst>
        </xdr:cNvPr>
        <xdr:cNvSpPr txBox="1">
          <a:spLocks noChangeArrowheads="1"/>
        </xdr:cNvSpPr>
      </xdr:nvSpPr>
      <xdr:spPr bwMode="auto">
        <a:xfrm>
          <a:off x="1914525" y="72294750"/>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342</xdr:row>
      <xdr:rowOff>0</xdr:rowOff>
    </xdr:from>
    <xdr:ext cx="6687" cy="344556"/>
    <xdr:sp macro="" textlink="">
      <xdr:nvSpPr>
        <xdr:cNvPr id="1546" name="Text Box 8">
          <a:extLst>
            <a:ext uri="{FF2B5EF4-FFF2-40B4-BE49-F238E27FC236}">
              <a16:creationId xmlns:a16="http://schemas.microsoft.com/office/drawing/2014/main" id="{00000000-0008-0000-0100-00000A060000}"/>
            </a:ext>
          </a:extLst>
        </xdr:cNvPr>
        <xdr:cNvSpPr txBox="1">
          <a:spLocks noChangeArrowheads="1"/>
        </xdr:cNvSpPr>
      </xdr:nvSpPr>
      <xdr:spPr bwMode="auto">
        <a:xfrm>
          <a:off x="1914525" y="72294750"/>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342</xdr:row>
      <xdr:rowOff>0</xdr:rowOff>
    </xdr:from>
    <xdr:ext cx="6687" cy="344556"/>
    <xdr:sp macro="" textlink="">
      <xdr:nvSpPr>
        <xdr:cNvPr id="1547" name="Text Box 9">
          <a:extLst>
            <a:ext uri="{FF2B5EF4-FFF2-40B4-BE49-F238E27FC236}">
              <a16:creationId xmlns:a16="http://schemas.microsoft.com/office/drawing/2014/main" id="{00000000-0008-0000-0100-00000B060000}"/>
            </a:ext>
          </a:extLst>
        </xdr:cNvPr>
        <xdr:cNvSpPr txBox="1">
          <a:spLocks noChangeArrowheads="1"/>
        </xdr:cNvSpPr>
      </xdr:nvSpPr>
      <xdr:spPr bwMode="auto">
        <a:xfrm>
          <a:off x="1914525" y="72294750"/>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342</xdr:row>
      <xdr:rowOff>0</xdr:rowOff>
    </xdr:from>
    <xdr:ext cx="6687" cy="327411"/>
    <xdr:sp macro="" textlink="">
      <xdr:nvSpPr>
        <xdr:cNvPr id="1548" name="Text Box 8">
          <a:extLst>
            <a:ext uri="{FF2B5EF4-FFF2-40B4-BE49-F238E27FC236}">
              <a16:creationId xmlns:a16="http://schemas.microsoft.com/office/drawing/2014/main" id="{00000000-0008-0000-0100-00000C060000}"/>
            </a:ext>
          </a:extLst>
        </xdr:cNvPr>
        <xdr:cNvSpPr txBox="1">
          <a:spLocks noChangeArrowheads="1"/>
        </xdr:cNvSpPr>
      </xdr:nvSpPr>
      <xdr:spPr bwMode="auto">
        <a:xfrm>
          <a:off x="1914525" y="72294750"/>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342</xdr:row>
      <xdr:rowOff>0</xdr:rowOff>
    </xdr:from>
    <xdr:ext cx="6687" cy="327411"/>
    <xdr:sp macro="" textlink="">
      <xdr:nvSpPr>
        <xdr:cNvPr id="1549" name="Text Box 9">
          <a:extLst>
            <a:ext uri="{FF2B5EF4-FFF2-40B4-BE49-F238E27FC236}">
              <a16:creationId xmlns:a16="http://schemas.microsoft.com/office/drawing/2014/main" id="{00000000-0008-0000-0100-00000D060000}"/>
            </a:ext>
          </a:extLst>
        </xdr:cNvPr>
        <xdr:cNvSpPr txBox="1">
          <a:spLocks noChangeArrowheads="1"/>
        </xdr:cNvSpPr>
      </xdr:nvSpPr>
      <xdr:spPr bwMode="auto">
        <a:xfrm>
          <a:off x="1914525" y="72294750"/>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50" name="Text Box 3">
          <a:extLst>
            <a:ext uri="{FF2B5EF4-FFF2-40B4-BE49-F238E27FC236}">
              <a16:creationId xmlns:a16="http://schemas.microsoft.com/office/drawing/2014/main" id="{00000000-0008-0000-0100-00000E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51" name="Text Box 32">
          <a:extLst>
            <a:ext uri="{FF2B5EF4-FFF2-40B4-BE49-F238E27FC236}">
              <a16:creationId xmlns:a16="http://schemas.microsoft.com/office/drawing/2014/main" id="{00000000-0008-0000-0100-00000F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52" name="Text Box 3">
          <a:extLst>
            <a:ext uri="{FF2B5EF4-FFF2-40B4-BE49-F238E27FC236}">
              <a16:creationId xmlns:a16="http://schemas.microsoft.com/office/drawing/2014/main" id="{00000000-0008-0000-0100-000010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53" name="Text Box 63">
          <a:extLst>
            <a:ext uri="{FF2B5EF4-FFF2-40B4-BE49-F238E27FC236}">
              <a16:creationId xmlns:a16="http://schemas.microsoft.com/office/drawing/2014/main" id="{00000000-0008-0000-0100-000011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54" name="Text Box 3">
          <a:extLst>
            <a:ext uri="{FF2B5EF4-FFF2-40B4-BE49-F238E27FC236}">
              <a16:creationId xmlns:a16="http://schemas.microsoft.com/office/drawing/2014/main" id="{00000000-0008-0000-0100-000012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55" name="Text Box 32">
          <a:extLst>
            <a:ext uri="{FF2B5EF4-FFF2-40B4-BE49-F238E27FC236}">
              <a16:creationId xmlns:a16="http://schemas.microsoft.com/office/drawing/2014/main" id="{00000000-0008-0000-0100-000013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56" name="Text Box 3">
          <a:extLst>
            <a:ext uri="{FF2B5EF4-FFF2-40B4-BE49-F238E27FC236}">
              <a16:creationId xmlns:a16="http://schemas.microsoft.com/office/drawing/2014/main" id="{00000000-0008-0000-0100-000014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57" name="Text Box 63">
          <a:extLst>
            <a:ext uri="{FF2B5EF4-FFF2-40B4-BE49-F238E27FC236}">
              <a16:creationId xmlns:a16="http://schemas.microsoft.com/office/drawing/2014/main" id="{00000000-0008-0000-0100-000015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58" name="Text Box 3">
          <a:extLst>
            <a:ext uri="{FF2B5EF4-FFF2-40B4-BE49-F238E27FC236}">
              <a16:creationId xmlns:a16="http://schemas.microsoft.com/office/drawing/2014/main" id="{00000000-0008-0000-0100-000016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59" name="Text Box 32">
          <a:extLst>
            <a:ext uri="{FF2B5EF4-FFF2-40B4-BE49-F238E27FC236}">
              <a16:creationId xmlns:a16="http://schemas.microsoft.com/office/drawing/2014/main" id="{00000000-0008-0000-0100-000017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60" name="Text Box 3">
          <a:extLst>
            <a:ext uri="{FF2B5EF4-FFF2-40B4-BE49-F238E27FC236}">
              <a16:creationId xmlns:a16="http://schemas.microsoft.com/office/drawing/2014/main" id="{00000000-0008-0000-0100-000018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61" name="Text Box 63">
          <a:extLst>
            <a:ext uri="{FF2B5EF4-FFF2-40B4-BE49-F238E27FC236}">
              <a16:creationId xmlns:a16="http://schemas.microsoft.com/office/drawing/2014/main" id="{00000000-0008-0000-0100-000019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62" name="Text Box 3">
          <a:extLst>
            <a:ext uri="{FF2B5EF4-FFF2-40B4-BE49-F238E27FC236}">
              <a16:creationId xmlns:a16="http://schemas.microsoft.com/office/drawing/2014/main" id="{00000000-0008-0000-0100-00001A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63" name="Text Box 32">
          <a:extLst>
            <a:ext uri="{FF2B5EF4-FFF2-40B4-BE49-F238E27FC236}">
              <a16:creationId xmlns:a16="http://schemas.microsoft.com/office/drawing/2014/main" id="{00000000-0008-0000-0100-00001B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64" name="Text Box 3">
          <a:extLst>
            <a:ext uri="{FF2B5EF4-FFF2-40B4-BE49-F238E27FC236}">
              <a16:creationId xmlns:a16="http://schemas.microsoft.com/office/drawing/2014/main" id="{00000000-0008-0000-0100-00001C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65" name="Text Box 63">
          <a:extLst>
            <a:ext uri="{FF2B5EF4-FFF2-40B4-BE49-F238E27FC236}">
              <a16:creationId xmlns:a16="http://schemas.microsoft.com/office/drawing/2014/main" id="{00000000-0008-0000-0100-00001D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66" name="Text Box 3">
          <a:extLst>
            <a:ext uri="{FF2B5EF4-FFF2-40B4-BE49-F238E27FC236}">
              <a16:creationId xmlns:a16="http://schemas.microsoft.com/office/drawing/2014/main" id="{00000000-0008-0000-0100-00001E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67" name="Text Box 32">
          <a:extLst>
            <a:ext uri="{FF2B5EF4-FFF2-40B4-BE49-F238E27FC236}">
              <a16:creationId xmlns:a16="http://schemas.microsoft.com/office/drawing/2014/main" id="{00000000-0008-0000-0100-00001F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68" name="Text Box 3">
          <a:extLst>
            <a:ext uri="{FF2B5EF4-FFF2-40B4-BE49-F238E27FC236}">
              <a16:creationId xmlns:a16="http://schemas.microsoft.com/office/drawing/2014/main" id="{00000000-0008-0000-0100-000020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69" name="Text Box 63">
          <a:extLst>
            <a:ext uri="{FF2B5EF4-FFF2-40B4-BE49-F238E27FC236}">
              <a16:creationId xmlns:a16="http://schemas.microsoft.com/office/drawing/2014/main" id="{00000000-0008-0000-0100-000021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70" name="Text Box 3">
          <a:extLst>
            <a:ext uri="{FF2B5EF4-FFF2-40B4-BE49-F238E27FC236}">
              <a16:creationId xmlns:a16="http://schemas.microsoft.com/office/drawing/2014/main" id="{00000000-0008-0000-0100-000022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71" name="Text Box 32">
          <a:extLst>
            <a:ext uri="{FF2B5EF4-FFF2-40B4-BE49-F238E27FC236}">
              <a16:creationId xmlns:a16="http://schemas.microsoft.com/office/drawing/2014/main" id="{00000000-0008-0000-0100-000023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72" name="Text Box 3">
          <a:extLst>
            <a:ext uri="{FF2B5EF4-FFF2-40B4-BE49-F238E27FC236}">
              <a16:creationId xmlns:a16="http://schemas.microsoft.com/office/drawing/2014/main" id="{00000000-0008-0000-0100-000024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73" name="Text Box 63">
          <a:extLst>
            <a:ext uri="{FF2B5EF4-FFF2-40B4-BE49-F238E27FC236}">
              <a16:creationId xmlns:a16="http://schemas.microsoft.com/office/drawing/2014/main" id="{00000000-0008-0000-0100-000025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74" name="Text Box 3">
          <a:extLst>
            <a:ext uri="{FF2B5EF4-FFF2-40B4-BE49-F238E27FC236}">
              <a16:creationId xmlns:a16="http://schemas.microsoft.com/office/drawing/2014/main" id="{00000000-0008-0000-0100-000026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75" name="Text Box 32">
          <a:extLst>
            <a:ext uri="{FF2B5EF4-FFF2-40B4-BE49-F238E27FC236}">
              <a16:creationId xmlns:a16="http://schemas.microsoft.com/office/drawing/2014/main" id="{00000000-0008-0000-0100-000027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76" name="Text Box 3">
          <a:extLst>
            <a:ext uri="{FF2B5EF4-FFF2-40B4-BE49-F238E27FC236}">
              <a16:creationId xmlns:a16="http://schemas.microsoft.com/office/drawing/2014/main" id="{00000000-0008-0000-0100-000028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77" name="Text Box 63">
          <a:extLst>
            <a:ext uri="{FF2B5EF4-FFF2-40B4-BE49-F238E27FC236}">
              <a16:creationId xmlns:a16="http://schemas.microsoft.com/office/drawing/2014/main" id="{00000000-0008-0000-0100-000029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78" name="Text Box 3">
          <a:extLst>
            <a:ext uri="{FF2B5EF4-FFF2-40B4-BE49-F238E27FC236}">
              <a16:creationId xmlns:a16="http://schemas.microsoft.com/office/drawing/2014/main" id="{00000000-0008-0000-0100-00002A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79" name="Text Box 32">
          <a:extLst>
            <a:ext uri="{FF2B5EF4-FFF2-40B4-BE49-F238E27FC236}">
              <a16:creationId xmlns:a16="http://schemas.microsoft.com/office/drawing/2014/main" id="{00000000-0008-0000-0100-00002B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80" name="Text Box 3">
          <a:extLst>
            <a:ext uri="{FF2B5EF4-FFF2-40B4-BE49-F238E27FC236}">
              <a16:creationId xmlns:a16="http://schemas.microsoft.com/office/drawing/2014/main" id="{00000000-0008-0000-0100-00002C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81" name="Text Box 63">
          <a:extLst>
            <a:ext uri="{FF2B5EF4-FFF2-40B4-BE49-F238E27FC236}">
              <a16:creationId xmlns:a16="http://schemas.microsoft.com/office/drawing/2014/main" id="{00000000-0008-0000-0100-00002D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82" name="Text Box 3">
          <a:extLst>
            <a:ext uri="{FF2B5EF4-FFF2-40B4-BE49-F238E27FC236}">
              <a16:creationId xmlns:a16="http://schemas.microsoft.com/office/drawing/2014/main" id="{00000000-0008-0000-0100-00002E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83" name="Text Box 32">
          <a:extLst>
            <a:ext uri="{FF2B5EF4-FFF2-40B4-BE49-F238E27FC236}">
              <a16:creationId xmlns:a16="http://schemas.microsoft.com/office/drawing/2014/main" id="{00000000-0008-0000-0100-00002F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84" name="Text Box 3">
          <a:extLst>
            <a:ext uri="{FF2B5EF4-FFF2-40B4-BE49-F238E27FC236}">
              <a16:creationId xmlns:a16="http://schemas.microsoft.com/office/drawing/2014/main" id="{00000000-0008-0000-0100-000030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85" name="Text Box 63">
          <a:extLst>
            <a:ext uri="{FF2B5EF4-FFF2-40B4-BE49-F238E27FC236}">
              <a16:creationId xmlns:a16="http://schemas.microsoft.com/office/drawing/2014/main" id="{00000000-0008-0000-0100-000031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86" name="Text Box 3">
          <a:extLst>
            <a:ext uri="{FF2B5EF4-FFF2-40B4-BE49-F238E27FC236}">
              <a16:creationId xmlns:a16="http://schemas.microsoft.com/office/drawing/2014/main" id="{00000000-0008-0000-0100-000032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87" name="Text Box 32">
          <a:extLst>
            <a:ext uri="{FF2B5EF4-FFF2-40B4-BE49-F238E27FC236}">
              <a16:creationId xmlns:a16="http://schemas.microsoft.com/office/drawing/2014/main" id="{00000000-0008-0000-0100-000033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88" name="Text Box 3">
          <a:extLst>
            <a:ext uri="{FF2B5EF4-FFF2-40B4-BE49-F238E27FC236}">
              <a16:creationId xmlns:a16="http://schemas.microsoft.com/office/drawing/2014/main" id="{00000000-0008-0000-0100-000034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89" name="Text Box 63">
          <a:extLst>
            <a:ext uri="{FF2B5EF4-FFF2-40B4-BE49-F238E27FC236}">
              <a16:creationId xmlns:a16="http://schemas.microsoft.com/office/drawing/2014/main" id="{00000000-0008-0000-0100-000035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90" name="Text Box 3">
          <a:extLst>
            <a:ext uri="{FF2B5EF4-FFF2-40B4-BE49-F238E27FC236}">
              <a16:creationId xmlns:a16="http://schemas.microsoft.com/office/drawing/2014/main" id="{00000000-0008-0000-0100-000036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91" name="Text Box 32">
          <a:extLst>
            <a:ext uri="{FF2B5EF4-FFF2-40B4-BE49-F238E27FC236}">
              <a16:creationId xmlns:a16="http://schemas.microsoft.com/office/drawing/2014/main" id="{00000000-0008-0000-0100-000037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92" name="Text Box 3">
          <a:extLst>
            <a:ext uri="{FF2B5EF4-FFF2-40B4-BE49-F238E27FC236}">
              <a16:creationId xmlns:a16="http://schemas.microsoft.com/office/drawing/2014/main" id="{00000000-0008-0000-0100-000038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93" name="Text Box 63">
          <a:extLst>
            <a:ext uri="{FF2B5EF4-FFF2-40B4-BE49-F238E27FC236}">
              <a16:creationId xmlns:a16="http://schemas.microsoft.com/office/drawing/2014/main" id="{00000000-0008-0000-0100-000039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94" name="Text Box 3">
          <a:extLst>
            <a:ext uri="{FF2B5EF4-FFF2-40B4-BE49-F238E27FC236}">
              <a16:creationId xmlns:a16="http://schemas.microsoft.com/office/drawing/2014/main" id="{00000000-0008-0000-0100-00003A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95" name="Text Box 32">
          <a:extLst>
            <a:ext uri="{FF2B5EF4-FFF2-40B4-BE49-F238E27FC236}">
              <a16:creationId xmlns:a16="http://schemas.microsoft.com/office/drawing/2014/main" id="{00000000-0008-0000-0100-00003B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96" name="Text Box 3">
          <a:extLst>
            <a:ext uri="{FF2B5EF4-FFF2-40B4-BE49-F238E27FC236}">
              <a16:creationId xmlns:a16="http://schemas.microsoft.com/office/drawing/2014/main" id="{00000000-0008-0000-0100-00003C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97" name="Text Box 63">
          <a:extLst>
            <a:ext uri="{FF2B5EF4-FFF2-40B4-BE49-F238E27FC236}">
              <a16:creationId xmlns:a16="http://schemas.microsoft.com/office/drawing/2014/main" id="{00000000-0008-0000-0100-00003D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598" name="Text Box 3">
          <a:extLst>
            <a:ext uri="{FF2B5EF4-FFF2-40B4-BE49-F238E27FC236}">
              <a16:creationId xmlns:a16="http://schemas.microsoft.com/office/drawing/2014/main" id="{00000000-0008-0000-0100-00003E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599" name="Text Box 32">
          <a:extLst>
            <a:ext uri="{FF2B5EF4-FFF2-40B4-BE49-F238E27FC236}">
              <a16:creationId xmlns:a16="http://schemas.microsoft.com/office/drawing/2014/main" id="{00000000-0008-0000-0100-00003F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00" name="Text Box 3">
          <a:extLst>
            <a:ext uri="{FF2B5EF4-FFF2-40B4-BE49-F238E27FC236}">
              <a16:creationId xmlns:a16="http://schemas.microsoft.com/office/drawing/2014/main" id="{00000000-0008-0000-0100-000040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01" name="Text Box 63">
          <a:extLst>
            <a:ext uri="{FF2B5EF4-FFF2-40B4-BE49-F238E27FC236}">
              <a16:creationId xmlns:a16="http://schemas.microsoft.com/office/drawing/2014/main" id="{00000000-0008-0000-0100-000041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02" name="Text Box 3">
          <a:extLst>
            <a:ext uri="{FF2B5EF4-FFF2-40B4-BE49-F238E27FC236}">
              <a16:creationId xmlns:a16="http://schemas.microsoft.com/office/drawing/2014/main" id="{00000000-0008-0000-0100-000042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03" name="Text Box 32">
          <a:extLst>
            <a:ext uri="{FF2B5EF4-FFF2-40B4-BE49-F238E27FC236}">
              <a16:creationId xmlns:a16="http://schemas.microsoft.com/office/drawing/2014/main" id="{00000000-0008-0000-0100-000043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04" name="Text Box 3">
          <a:extLst>
            <a:ext uri="{FF2B5EF4-FFF2-40B4-BE49-F238E27FC236}">
              <a16:creationId xmlns:a16="http://schemas.microsoft.com/office/drawing/2014/main" id="{00000000-0008-0000-0100-000044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05" name="Text Box 63">
          <a:extLst>
            <a:ext uri="{FF2B5EF4-FFF2-40B4-BE49-F238E27FC236}">
              <a16:creationId xmlns:a16="http://schemas.microsoft.com/office/drawing/2014/main" id="{00000000-0008-0000-0100-000045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06" name="Text Box 3">
          <a:extLst>
            <a:ext uri="{FF2B5EF4-FFF2-40B4-BE49-F238E27FC236}">
              <a16:creationId xmlns:a16="http://schemas.microsoft.com/office/drawing/2014/main" id="{00000000-0008-0000-0100-000046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07" name="Text Box 32">
          <a:extLst>
            <a:ext uri="{FF2B5EF4-FFF2-40B4-BE49-F238E27FC236}">
              <a16:creationId xmlns:a16="http://schemas.microsoft.com/office/drawing/2014/main" id="{00000000-0008-0000-0100-000047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08" name="Text Box 3">
          <a:extLst>
            <a:ext uri="{FF2B5EF4-FFF2-40B4-BE49-F238E27FC236}">
              <a16:creationId xmlns:a16="http://schemas.microsoft.com/office/drawing/2014/main" id="{00000000-0008-0000-0100-000048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09" name="Text Box 63">
          <a:extLst>
            <a:ext uri="{FF2B5EF4-FFF2-40B4-BE49-F238E27FC236}">
              <a16:creationId xmlns:a16="http://schemas.microsoft.com/office/drawing/2014/main" id="{00000000-0008-0000-0100-000049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10" name="Text Box 3">
          <a:extLst>
            <a:ext uri="{FF2B5EF4-FFF2-40B4-BE49-F238E27FC236}">
              <a16:creationId xmlns:a16="http://schemas.microsoft.com/office/drawing/2014/main" id="{00000000-0008-0000-0100-00004A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11" name="Text Box 32">
          <a:extLst>
            <a:ext uri="{FF2B5EF4-FFF2-40B4-BE49-F238E27FC236}">
              <a16:creationId xmlns:a16="http://schemas.microsoft.com/office/drawing/2014/main" id="{00000000-0008-0000-0100-00004B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12" name="Text Box 3">
          <a:extLst>
            <a:ext uri="{FF2B5EF4-FFF2-40B4-BE49-F238E27FC236}">
              <a16:creationId xmlns:a16="http://schemas.microsoft.com/office/drawing/2014/main" id="{00000000-0008-0000-0100-00004C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13" name="Text Box 63">
          <a:extLst>
            <a:ext uri="{FF2B5EF4-FFF2-40B4-BE49-F238E27FC236}">
              <a16:creationId xmlns:a16="http://schemas.microsoft.com/office/drawing/2014/main" id="{00000000-0008-0000-0100-00004D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14" name="Text Box 3">
          <a:extLst>
            <a:ext uri="{FF2B5EF4-FFF2-40B4-BE49-F238E27FC236}">
              <a16:creationId xmlns:a16="http://schemas.microsoft.com/office/drawing/2014/main" id="{00000000-0008-0000-0100-00004E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15" name="Text Box 32">
          <a:extLst>
            <a:ext uri="{FF2B5EF4-FFF2-40B4-BE49-F238E27FC236}">
              <a16:creationId xmlns:a16="http://schemas.microsoft.com/office/drawing/2014/main" id="{00000000-0008-0000-0100-00004F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16" name="Text Box 3">
          <a:extLst>
            <a:ext uri="{FF2B5EF4-FFF2-40B4-BE49-F238E27FC236}">
              <a16:creationId xmlns:a16="http://schemas.microsoft.com/office/drawing/2014/main" id="{00000000-0008-0000-0100-000050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17" name="Text Box 63">
          <a:extLst>
            <a:ext uri="{FF2B5EF4-FFF2-40B4-BE49-F238E27FC236}">
              <a16:creationId xmlns:a16="http://schemas.microsoft.com/office/drawing/2014/main" id="{00000000-0008-0000-0100-000051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18" name="Text Box 3">
          <a:extLst>
            <a:ext uri="{FF2B5EF4-FFF2-40B4-BE49-F238E27FC236}">
              <a16:creationId xmlns:a16="http://schemas.microsoft.com/office/drawing/2014/main" id="{00000000-0008-0000-0100-000052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19" name="Text Box 32">
          <a:extLst>
            <a:ext uri="{FF2B5EF4-FFF2-40B4-BE49-F238E27FC236}">
              <a16:creationId xmlns:a16="http://schemas.microsoft.com/office/drawing/2014/main" id="{00000000-0008-0000-0100-000053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20" name="Text Box 3">
          <a:extLst>
            <a:ext uri="{FF2B5EF4-FFF2-40B4-BE49-F238E27FC236}">
              <a16:creationId xmlns:a16="http://schemas.microsoft.com/office/drawing/2014/main" id="{00000000-0008-0000-0100-000054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21" name="Text Box 63">
          <a:extLst>
            <a:ext uri="{FF2B5EF4-FFF2-40B4-BE49-F238E27FC236}">
              <a16:creationId xmlns:a16="http://schemas.microsoft.com/office/drawing/2014/main" id="{00000000-0008-0000-0100-000055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22" name="Text Box 3">
          <a:extLst>
            <a:ext uri="{FF2B5EF4-FFF2-40B4-BE49-F238E27FC236}">
              <a16:creationId xmlns:a16="http://schemas.microsoft.com/office/drawing/2014/main" id="{00000000-0008-0000-0100-000056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23" name="Text Box 32">
          <a:extLst>
            <a:ext uri="{FF2B5EF4-FFF2-40B4-BE49-F238E27FC236}">
              <a16:creationId xmlns:a16="http://schemas.microsoft.com/office/drawing/2014/main" id="{00000000-0008-0000-0100-000057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24" name="Text Box 3">
          <a:extLst>
            <a:ext uri="{FF2B5EF4-FFF2-40B4-BE49-F238E27FC236}">
              <a16:creationId xmlns:a16="http://schemas.microsoft.com/office/drawing/2014/main" id="{00000000-0008-0000-0100-000058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25" name="Text Box 63">
          <a:extLst>
            <a:ext uri="{FF2B5EF4-FFF2-40B4-BE49-F238E27FC236}">
              <a16:creationId xmlns:a16="http://schemas.microsoft.com/office/drawing/2014/main" id="{00000000-0008-0000-0100-000059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26" name="Text Box 3">
          <a:extLst>
            <a:ext uri="{FF2B5EF4-FFF2-40B4-BE49-F238E27FC236}">
              <a16:creationId xmlns:a16="http://schemas.microsoft.com/office/drawing/2014/main" id="{00000000-0008-0000-0100-00005A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27" name="Text Box 32">
          <a:extLst>
            <a:ext uri="{FF2B5EF4-FFF2-40B4-BE49-F238E27FC236}">
              <a16:creationId xmlns:a16="http://schemas.microsoft.com/office/drawing/2014/main" id="{00000000-0008-0000-0100-00005B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28" name="Text Box 3">
          <a:extLst>
            <a:ext uri="{FF2B5EF4-FFF2-40B4-BE49-F238E27FC236}">
              <a16:creationId xmlns:a16="http://schemas.microsoft.com/office/drawing/2014/main" id="{00000000-0008-0000-0100-00005C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29" name="Text Box 63">
          <a:extLst>
            <a:ext uri="{FF2B5EF4-FFF2-40B4-BE49-F238E27FC236}">
              <a16:creationId xmlns:a16="http://schemas.microsoft.com/office/drawing/2014/main" id="{00000000-0008-0000-0100-00005D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30" name="Text Box 3">
          <a:extLst>
            <a:ext uri="{FF2B5EF4-FFF2-40B4-BE49-F238E27FC236}">
              <a16:creationId xmlns:a16="http://schemas.microsoft.com/office/drawing/2014/main" id="{00000000-0008-0000-0100-00005E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31" name="Text Box 32">
          <a:extLst>
            <a:ext uri="{FF2B5EF4-FFF2-40B4-BE49-F238E27FC236}">
              <a16:creationId xmlns:a16="http://schemas.microsoft.com/office/drawing/2014/main" id="{00000000-0008-0000-0100-00005F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32" name="Text Box 3">
          <a:extLst>
            <a:ext uri="{FF2B5EF4-FFF2-40B4-BE49-F238E27FC236}">
              <a16:creationId xmlns:a16="http://schemas.microsoft.com/office/drawing/2014/main" id="{00000000-0008-0000-0100-000060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33" name="Text Box 63">
          <a:extLst>
            <a:ext uri="{FF2B5EF4-FFF2-40B4-BE49-F238E27FC236}">
              <a16:creationId xmlns:a16="http://schemas.microsoft.com/office/drawing/2014/main" id="{00000000-0008-0000-0100-000061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34" name="Text Box 3">
          <a:extLst>
            <a:ext uri="{FF2B5EF4-FFF2-40B4-BE49-F238E27FC236}">
              <a16:creationId xmlns:a16="http://schemas.microsoft.com/office/drawing/2014/main" id="{00000000-0008-0000-0100-000062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35" name="Text Box 32">
          <a:extLst>
            <a:ext uri="{FF2B5EF4-FFF2-40B4-BE49-F238E27FC236}">
              <a16:creationId xmlns:a16="http://schemas.microsoft.com/office/drawing/2014/main" id="{00000000-0008-0000-0100-000063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36" name="Text Box 3">
          <a:extLst>
            <a:ext uri="{FF2B5EF4-FFF2-40B4-BE49-F238E27FC236}">
              <a16:creationId xmlns:a16="http://schemas.microsoft.com/office/drawing/2014/main" id="{00000000-0008-0000-0100-000064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37" name="Text Box 63">
          <a:extLst>
            <a:ext uri="{FF2B5EF4-FFF2-40B4-BE49-F238E27FC236}">
              <a16:creationId xmlns:a16="http://schemas.microsoft.com/office/drawing/2014/main" id="{00000000-0008-0000-0100-000065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38" name="Text Box 3">
          <a:extLst>
            <a:ext uri="{FF2B5EF4-FFF2-40B4-BE49-F238E27FC236}">
              <a16:creationId xmlns:a16="http://schemas.microsoft.com/office/drawing/2014/main" id="{00000000-0008-0000-0100-000066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39" name="Text Box 32">
          <a:extLst>
            <a:ext uri="{FF2B5EF4-FFF2-40B4-BE49-F238E27FC236}">
              <a16:creationId xmlns:a16="http://schemas.microsoft.com/office/drawing/2014/main" id="{00000000-0008-0000-0100-000067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40" name="Text Box 3">
          <a:extLst>
            <a:ext uri="{FF2B5EF4-FFF2-40B4-BE49-F238E27FC236}">
              <a16:creationId xmlns:a16="http://schemas.microsoft.com/office/drawing/2014/main" id="{00000000-0008-0000-0100-000068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41" name="Text Box 63">
          <a:extLst>
            <a:ext uri="{FF2B5EF4-FFF2-40B4-BE49-F238E27FC236}">
              <a16:creationId xmlns:a16="http://schemas.microsoft.com/office/drawing/2014/main" id="{00000000-0008-0000-0100-000069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42" name="Text Box 3">
          <a:extLst>
            <a:ext uri="{FF2B5EF4-FFF2-40B4-BE49-F238E27FC236}">
              <a16:creationId xmlns:a16="http://schemas.microsoft.com/office/drawing/2014/main" id="{00000000-0008-0000-0100-00006A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43" name="Text Box 32">
          <a:extLst>
            <a:ext uri="{FF2B5EF4-FFF2-40B4-BE49-F238E27FC236}">
              <a16:creationId xmlns:a16="http://schemas.microsoft.com/office/drawing/2014/main" id="{00000000-0008-0000-0100-00006B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44" name="Text Box 3">
          <a:extLst>
            <a:ext uri="{FF2B5EF4-FFF2-40B4-BE49-F238E27FC236}">
              <a16:creationId xmlns:a16="http://schemas.microsoft.com/office/drawing/2014/main" id="{00000000-0008-0000-0100-00006C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45" name="Text Box 63">
          <a:extLst>
            <a:ext uri="{FF2B5EF4-FFF2-40B4-BE49-F238E27FC236}">
              <a16:creationId xmlns:a16="http://schemas.microsoft.com/office/drawing/2014/main" id="{00000000-0008-0000-0100-00006D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46" name="Text Box 3">
          <a:extLst>
            <a:ext uri="{FF2B5EF4-FFF2-40B4-BE49-F238E27FC236}">
              <a16:creationId xmlns:a16="http://schemas.microsoft.com/office/drawing/2014/main" id="{00000000-0008-0000-0100-00006E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47" name="Text Box 32">
          <a:extLst>
            <a:ext uri="{FF2B5EF4-FFF2-40B4-BE49-F238E27FC236}">
              <a16:creationId xmlns:a16="http://schemas.microsoft.com/office/drawing/2014/main" id="{00000000-0008-0000-0100-00006F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48" name="Text Box 3">
          <a:extLst>
            <a:ext uri="{FF2B5EF4-FFF2-40B4-BE49-F238E27FC236}">
              <a16:creationId xmlns:a16="http://schemas.microsoft.com/office/drawing/2014/main" id="{00000000-0008-0000-0100-000070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49" name="Text Box 63">
          <a:extLst>
            <a:ext uri="{FF2B5EF4-FFF2-40B4-BE49-F238E27FC236}">
              <a16:creationId xmlns:a16="http://schemas.microsoft.com/office/drawing/2014/main" id="{00000000-0008-0000-0100-000071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50" name="Text Box 3">
          <a:extLst>
            <a:ext uri="{FF2B5EF4-FFF2-40B4-BE49-F238E27FC236}">
              <a16:creationId xmlns:a16="http://schemas.microsoft.com/office/drawing/2014/main" id="{00000000-0008-0000-0100-000072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51" name="Text Box 32">
          <a:extLst>
            <a:ext uri="{FF2B5EF4-FFF2-40B4-BE49-F238E27FC236}">
              <a16:creationId xmlns:a16="http://schemas.microsoft.com/office/drawing/2014/main" id="{00000000-0008-0000-0100-000073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52" name="Text Box 3">
          <a:extLst>
            <a:ext uri="{FF2B5EF4-FFF2-40B4-BE49-F238E27FC236}">
              <a16:creationId xmlns:a16="http://schemas.microsoft.com/office/drawing/2014/main" id="{00000000-0008-0000-0100-000074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53" name="Text Box 63">
          <a:extLst>
            <a:ext uri="{FF2B5EF4-FFF2-40B4-BE49-F238E27FC236}">
              <a16:creationId xmlns:a16="http://schemas.microsoft.com/office/drawing/2014/main" id="{00000000-0008-0000-0100-000075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54" name="Text Box 3">
          <a:extLst>
            <a:ext uri="{FF2B5EF4-FFF2-40B4-BE49-F238E27FC236}">
              <a16:creationId xmlns:a16="http://schemas.microsoft.com/office/drawing/2014/main" id="{00000000-0008-0000-0100-000076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55" name="Text Box 32">
          <a:extLst>
            <a:ext uri="{FF2B5EF4-FFF2-40B4-BE49-F238E27FC236}">
              <a16:creationId xmlns:a16="http://schemas.microsoft.com/office/drawing/2014/main" id="{00000000-0008-0000-0100-000077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56" name="Text Box 3">
          <a:extLst>
            <a:ext uri="{FF2B5EF4-FFF2-40B4-BE49-F238E27FC236}">
              <a16:creationId xmlns:a16="http://schemas.microsoft.com/office/drawing/2014/main" id="{00000000-0008-0000-0100-000078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57" name="Text Box 63">
          <a:extLst>
            <a:ext uri="{FF2B5EF4-FFF2-40B4-BE49-F238E27FC236}">
              <a16:creationId xmlns:a16="http://schemas.microsoft.com/office/drawing/2014/main" id="{00000000-0008-0000-0100-000079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58" name="Text Box 3">
          <a:extLst>
            <a:ext uri="{FF2B5EF4-FFF2-40B4-BE49-F238E27FC236}">
              <a16:creationId xmlns:a16="http://schemas.microsoft.com/office/drawing/2014/main" id="{00000000-0008-0000-0100-00007A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59" name="Text Box 32">
          <a:extLst>
            <a:ext uri="{FF2B5EF4-FFF2-40B4-BE49-F238E27FC236}">
              <a16:creationId xmlns:a16="http://schemas.microsoft.com/office/drawing/2014/main" id="{00000000-0008-0000-0100-00007B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60" name="Text Box 3">
          <a:extLst>
            <a:ext uri="{FF2B5EF4-FFF2-40B4-BE49-F238E27FC236}">
              <a16:creationId xmlns:a16="http://schemas.microsoft.com/office/drawing/2014/main" id="{00000000-0008-0000-0100-00007C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61" name="Text Box 63">
          <a:extLst>
            <a:ext uri="{FF2B5EF4-FFF2-40B4-BE49-F238E27FC236}">
              <a16:creationId xmlns:a16="http://schemas.microsoft.com/office/drawing/2014/main" id="{00000000-0008-0000-0100-00007D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62" name="Text Box 3">
          <a:extLst>
            <a:ext uri="{FF2B5EF4-FFF2-40B4-BE49-F238E27FC236}">
              <a16:creationId xmlns:a16="http://schemas.microsoft.com/office/drawing/2014/main" id="{00000000-0008-0000-0100-00007E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63" name="Text Box 32">
          <a:extLst>
            <a:ext uri="{FF2B5EF4-FFF2-40B4-BE49-F238E27FC236}">
              <a16:creationId xmlns:a16="http://schemas.microsoft.com/office/drawing/2014/main" id="{00000000-0008-0000-0100-00007F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64" name="Text Box 3">
          <a:extLst>
            <a:ext uri="{FF2B5EF4-FFF2-40B4-BE49-F238E27FC236}">
              <a16:creationId xmlns:a16="http://schemas.microsoft.com/office/drawing/2014/main" id="{00000000-0008-0000-0100-000080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65" name="Text Box 63">
          <a:extLst>
            <a:ext uri="{FF2B5EF4-FFF2-40B4-BE49-F238E27FC236}">
              <a16:creationId xmlns:a16="http://schemas.microsoft.com/office/drawing/2014/main" id="{00000000-0008-0000-0100-000081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66" name="Text Box 3">
          <a:extLst>
            <a:ext uri="{FF2B5EF4-FFF2-40B4-BE49-F238E27FC236}">
              <a16:creationId xmlns:a16="http://schemas.microsoft.com/office/drawing/2014/main" id="{00000000-0008-0000-0100-000082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67" name="Text Box 32">
          <a:extLst>
            <a:ext uri="{FF2B5EF4-FFF2-40B4-BE49-F238E27FC236}">
              <a16:creationId xmlns:a16="http://schemas.microsoft.com/office/drawing/2014/main" id="{00000000-0008-0000-0100-000083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68" name="Text Box 3">
          <a:extLst>
            <a:ext uri="{FF2B5EF4-FFF2-40B4-BE49-F238E27FC236}">
              <a16:creationId xmlns:a16="http://schemas.microsoft.com/office/drawing/2014/main" id="{00000000-0008-0000-0100-000084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69" name="Text Box 63">
          <a:extLst>
            <a:ext uri="{FF2B5EF4-FFF2-40B4-BE49-F238E27FC236}">
              <a16:creationId xmlns:a16="http://schemas.microsoft.com/office/drawing/2014/main" id="{00000000-0008-0000-0100-000085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70" name="Text Box 3">
          <a:extLst>
            <a:ext uri="{FF2B5EF4-FFF2-40B4-BE49-F238E27FC236}">
              <a16:creationId xmlns:a16="http://schemas.microsoft.com/office/drawing/2014/main" id="{00000000-0008-0000-0100-000086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71" name="Text Box 32">
          <a:extLst>
            <a:ext uri="{FF2B5EF4-FFF2-40B4-BE49-F238E27FC236}">
              <a16:creationId xmlns:a16="http://schemas.microsoft.com/office/drawing/2014/main" id="{00000000-0008-0000-0100-000087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72" name="Text Box 3">
          <a:extLst>
            <a:ext uri="{FF2B5EF4-FFF2-40B4-BE49-F238E27FC236}">
              <a16:creationId xmlns:a16="http://schemas.microsoft.com/office/drawing/2014/main" id="{00000000-0008-0000-0100-000088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73" name="Text Box 63">
          <a:extLst>
            <a:ext uri="{FF2B5EF4-FFF2-40B4-BE49-F238E27FC236}">
              <a16:creationId xmlns:a16="http://schemas.microsoft.com/office/drawing/2014/main" id="{00000000-0008-0000-0100-000089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74" name="Text Box 3">
          <a:extLst>
            <a:ext uri="{FF2B5EF4-FFF2-40B4-BE49-F238E27FC236}">
              <a16:creationId xmlns:a16="http://schemas.microsoft.com/office/drawing/2014/main" id="{00000000-0008-0000-0100-00008A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75" name="Text Box 32">
          <a:extLst>
            <a:ext uri="{FF2B5EF4-FFF2-40B4-BE49-F238E27FC236}">
              <a16:creationId xmlns:a16="http://schemas.microsoft.com/office/drawing/2014/main" id="{00000000-0008-0000-0100-00008B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76" name="Text Box 3">
          <a:extLst>
            <a:ext uri="{FF2B5EF4-FFF2-40B4-BE49-F238E27FC236}">
              <a16:creationId xmlns:a16="http://schemas.microsoft.com/office/drawing/2014/main" id="{00000000-0008-0000-0100-00008C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77" name="Text Box 63">
          <a:extLst>
            <a:ext uri="{FF2B5EF4-FFF2-40B4-BE49-F238E27FC236}">
              <a16:creationId xmlns:a16="http://schemas.microsoft.com/office/drawing/2014/main" id="{00000000-0008-0000-0100-00008D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78" name="Text Box 32">
          <a:extLst>
            <a:ext uri="{FF2B5EF4-FFF2-40B4-BE49-F238E27FC236}">
              <a16:creationId xmlns:a16="http://schemas.microsoft.com/office/drawing/2014/main" id="{00000000-0008-0000-0100-00008E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79" name="Text Box 3">
          <a:extLst>
            <a:ext uri="{FF2B5EF4-FFF2-40B4-BE49-F238E27FC236}">
              <a16:creationId xmlns:a16="http://schemas.microsoft.com/office/drawing/2014/main" id="{00000000-0008-0000-0100-00008F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80" name="Text Box 63">
          <a:extLst>
            <a:ext uri="{FF2B5EF4-FFF2-40B4-BE49-F238E27FC236}">
              <a16:creationId xmlns:a16="http://schemas.microsoft.com/office/drawing/2014/main" id="{00000000-0008-0000-0100-000090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81" name="Text Box 3">
          <a:extLst>
            <a:ext uri="{FF2B5EF4-FFF2-40B4-BE49-F238E27FC236}">
              <a16:creationId xmlns:a16="http://schemas.microsoft.com/office/drawing/2014/main" id="{00000000-0008-0000-0100-000091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82" name="Text Box 32">
          <a:extLst>
            <a:ext uri="{FF2B5EF4-FFF2-40B4-BE49-F238E27FC236}">
              <a16:creationId xmlns:a16="http://schemas.microsoft.com/office/drawing/2014/main" id="{00000000-0008-0000-0100-000092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83" name="Text Box 3">
          <a:extLst>
            <a:ext uri="{FF2B5EF4-FFF2-40B4-BE49-F238E27FC236}">
              <a16:creationId xmlns:a16="http://schemas.microsoft.com/office/drawing/2014/main" id="{00000000-0008-0000-0100-000093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84" name="Text Box 63">
          <a:extLst>
            <a:ext uri="{FF2B5EF4-FFF2-40B4-BE49-F238E27FC236}">
              <a16:creationId xmlns:a16="http://schemas.microsoft.com/office/drawing/2014/main" id="{00000000-0008-0000-0100-000094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85" name="Text Box 3">
          <a:extLst>
            <a:ext uri="{FF2B5EF4-FFF2-40B4-BE49-F238E27FC236}">
              <a16:creationId xmlns:a16="http://schemas.microsoft.com/office/drawing/2014/main" id="{00000000-0008-0000-0100-000095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86" name="Text Box 32">
          <a:extLst>
            <a:ext uri="{FF2B5EF4-FFF2-40B4-BE49-F238E27FC236}">
              <a16:creationId xmlns:a16="http://schemas.microsoft.com/office/drawing/2014/main" id="{00000000-0008-0000-0100-000096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87" name="Text Box 3">
          <a:extLst>
            <a:ext uri="{FF2B5EF4-FFF2-40B4-BE49-F238E27FC236}">
              <a16:creationId xmlns:a16="http://schemas.microsoft.com/office/drawing/2014/main" id="{00000000-0008-0000-0100-000097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88" name="Text Box 63">
          <a:extLst>
            <a:ext uri="{FF2B5EF4-FFF2-40B4-BE49-F238E27FC236}">
              <a16:creationId xmlns:a16="http://schemas.microsoft.com/office/drawing/2014/main" id="{00000000-0008-0000-0100-000098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89" name="Text Box 3">
          <a:extLst>
            <a:ext uri="{FF2B5EF4-FFF2-40B4-BE49-F238E27FC236}">
              <a16:creationId xmlns:a16="http://schemas.microsoft.com/office/drawing/2014/main" id="{00000000-0008-0000-0100-000099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90" name="Text Box 32">
          <a:extLst>
            <a:ext uri="{FF2B5EF4-FFF2-40B4-BE49-F238E27FC236}">
              <a16:creationId xmlns:a16="http://schemas.microsoft.com/office/drawing/2014/main" id="{00000000-0008-0000-0100-00009A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91" name="Text Box 3">
          <a:extLst>
            <a:ext uri="{FF2B5EF4-FFF2-40B4-BE49-F238E27FC236}">
              <a16:creationId xmlns:a16="http://schemas.microsoft.com/office/drawing/2014/main" id="{00000000-0008-0000-0100-00009B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92" name="Text Box 63">
          <a:extLst>
            <a:ext uri="{FF2B5EF4-FFF2-40B4-BE49-F238E27FC236}">
              <a16:creationId xmlns:a16="http://schemas.microsoft.com/office/drawing/2014/main" id="{00000000-0008-0000-0100-00009C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93" name="Text Box 3">
          <a:extLst>
            <a:ext uri="{FF2B5EF4-FFF2-40B4-BE49-F238E27FC236}">
              <a16:creationId xmlns:a16="http://schemas.microsoft.com/office/drawing/2014/main" id="{00000000-0008-0000-0100-00009D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94" name="Text Box 32">
          <a:extLst>
            <a:ext uri="{FF2B5EF4-FFF2-40B4-BE49-F238E27FC236}">
              <a16:creationId xmlns:a16="http://schemas.microsoft.com/office/drawing/2014/main" id="{00000000-0008-0000-0100-00009E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95" name="Text Box 3">
          <a:extLst>
            <a:ext uri="{FF2B5EF4-FFF2-40B4-BE49-F238E27FC236}">
              <a16:creationId xmlns:a16="http://schemas.microsoft.com/office/drawing/2014/main" id="{00000000-0008-0000-0100-00009F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96" name="Text Box 63">
          <a:extLst>
            <a:ext uri="{FF2B5EF4-FFF2-40B4-BE49-F238E27FC236}">
              <a16:creationId xmlns:a16="http://schemas.microsoft.com/office/drawing/2014/main" id="{00000000-0008-0000-0100-0000A0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97" name="Text Box 3">
          <a:extLst>
            <a:ext uri="{FF2B5EF4-FFF2-40B4-BE49-F238E27FC236}">
              <a16:creationId xmlns:a16="http://schemas.microsoft.com/office/drawing/2014/main" id="{00000000-0008-0000-0100-0000A1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698" name="Text Box 32">
          <a:extLst>
            <a:ext uri="{FF2B5EF4-FFF2-40B4-BE49-F238E27FC236}">
              <a16:creationId xmlns:a16="http://schemas.microsoft.com/office/drawing/2014/main" id="{00000000-0008-0000-0100-0000A2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699" name="Text Box 3">
          <a:extLst>
            <a:ext uri="{FF2B5EF4-FFF2-40B4-BE49-F238E27FC236}">
              <a16:creationId xmlns:a16="http://schemas.microsoft.com/office/drawing/2014/main" id="{00000000-0008-0000-0100-0000A3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00" name="Text Box 63">
          <a:extLst>
            <a:ext uri="{FF2B5EF4-FFF2-40B4-BE49-F238E27FC236}">
              <a16:creationId xmlns:a16="http://schemas.microsoft.com/office/drawing/2014/main" id="{00000000-0008-0000-0100-0000A4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01" name="Text Box 3">
          <a:extLst>
            <a:ext uri="{FF2B5EF4-FFF2-40B4-BE49-F238E27FC236}">
              <a16:creationId xmlns:a16="http://schemas.microsoft.com/office/drawing/2014/main" id="{00000000-0008-0000-0100-0000A5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02" name="Text Box 32">
          <a:extLst>
            <a:ext uri="{FF2B5EF4-FFF2-40B4-BE49-F238E27FC236}">
              <a16:creationId xmlns:a16="http://schemas.microsoft.com/office/drawing/2014/main" id="{00000000-0008-0000-0100-0000A6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03" name="Text Box 3">
          <a:extLst>
            <a:ext uri="{FF2B5EF4-FFF2-40B4-BE49-F238E27FC236}">
              <a16:creationId xmlns:a16="http://schemas.microsoft.com/office/drawing/2014/main" id="{00000000-0008-0000-0100-0000A7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04" name="Text Box 63">
          <a:extLst>
            <a:ext uri="{FF2B5EF4-FFF2-40B4-BE49-F238E27FC236}">
              <a16:creationId xmlns:a16="http://schemas.microsoft.com/office/drawing/2014/main" id="{00000000-0008-0000-0100-0000A8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05" name="Text Box 3">
          <a:extLst>
            <a:ext uri="{FF2B5EF4-FFF2-40B4-BE49-F238E27FC236}">
              <a16:creationId xmlns:a16="http://schemas.microsoft.com/office/drawing/2014/main" id="{00000000-0008-0000-0100-0000A9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06" name="Text Box 32">
          <a:extLst>
            <a:ext uri="{FF2B5EF4-FFF2-40B4-BE49-F238E27FC236}">
              <a16:creationId xmlns:a16="http://schemas.microsoft.com/office/drawing/2014/main" id="{00000000-0008-0000-0100-0000AA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07" name="Text Box 3">
          <a:extLst>
            <a:ext uri="{FF2B5EF4-FFF2-40B4-BE49-F238E27FC236}">
              <a16:creationId xmlns:a16="http://schemas.microsoft.com/office/drawing/2014/main" id="{00000000-0008-0000-0100-0000AB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08" name="Text Box 63">
          <a:extLst>
            <a:ext uri="{FF2B5EF4-FFF2-40B4-BE49-F238E27FC236}">
              <a16:creationId xmlns:a16="http://schemas.microsoft.com/office/drawing/2014/main" id="{00000000-0008-0000-0100-0000AC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09" name="Text Box 3">
          <a:extLst>
            <a:ext uri="{FF2B5EF4-FFF2-40B4-BE49-F238E27FC236}">
              <a16:creationId xmlns:a16="http://schemas.microsoft.com/office/drawing/2014/main" id="{00000000-0008-0000-0100-0000AD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10" name="Text Box 32">
          <a:extLst>
            <a:ext uri="{FF2B5EF4-FFF2-40B4-BE49-F238E27FC236}">
              <a16:creationId xmlns:a16="http://schemas.microsoft.com/office/drawing/2014/main" id="{00000000-0008-0000-0100-0000AE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11" name="Text Box 3">
          <a:extLst>
            <a:ext uri="{FF2B5EF4-FFF2-40B4-BE49-F238E27FC236}">
              <a16:creationId xmlns:a16="http://schemas.microsoft.com/office/drawing/2014/main" id="{00000000-0008-0000-0100-0000AF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12" name="Text Box 63">
          <a:extLst>
            <a:ext uri="{FF2B5EF4-FFF2-40B4-BE49-F238E27FC236}">
              <a16:creationId xmlns:a16="http://schemas.microsoft.com/office/drawing/2014/main" id="{00000000-0008-0000-0100-0000B0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13" name="Text Box 3">
          <a:extLst>
            <a:ext uri="{FF2B5EF4-FFF2-40B4-BE49-F238E27FC236}">
              <a16:creationId xmlns:a16="http://schemas.microsoft.com/office/drawing/2014/main" id="{00000000-0008-0000-0100-0000B1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14" name="Text Box 32">
          <a:extLst>
            <a:ext uri="{FF2B5EF4-FFF2-40B4-BE49-F238E27FC236}">
              <a16:creationId xmlns:a16="http://schemas.microsoft.com/office/drawing/2014/main" id="{00000000-0008-0000-0100-0000B2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15" name="Text Box 3">
          <a:extLst>
            <a:ext uri="{FF2B5EF4-FFF2-40B4-BE49-F238E27FC236}">
              <a16:creationId xmlns:a16="http://schemas.microsoft.com/office/drawing/2014/main" id="{00000000-0008-0000-0100-0000B3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16" name="Text Box 63">
          <a:extLst>
            <a:ext uri="{FF2B5EF4-FFF2-40B4-BE49-F238E27FC236}">
              <a16:creationId xmlns:a16="http://schemas.microsoft.com/office/drawing/2014/main" id="{00000000-0008-0000-0100-0000B4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17" name="Text Box 3">
          <a:extLst>
            <a:ext uri="{FF2B5EF4-FFF2-40B4-BE49-F238E27FC236}">
              <a16:creationId xmlns:a16="http://schemas.microsoft.com/office/drawing/2014/main" id="{00000000-0008-0000-0100-0000B5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18" name="Text Box 32">
          <a:extLst>
            <a:ext uri="{FF2B5EF4-FFF2-40B4-BE49-F238E27FC236}">
              <a16:creationId xmlns:a16="http://schemas.microsoft.com/office/drawing/2014/main" id="{00000000-0008-0000-0100-0000B6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19" name="Text Box 3">
          <a:extLst>
            <a:ext uri="{FF2B5EF4-FFF2-40B4-BE49-F238E27FC236}">
              <a16:creationId xmlns:a16="http://schemas.microsoft.com/office/drawing/2014/main" id="{00000000-0008-0000-0100-0000B7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20" name="Text Box 63">
          <a:extLst>
            <a:ext uri="{FF2B5EF4-FFF2-40B4-BE49-F238E27FC236}">
              <a16:creationId xmlns:a16="http://schemas.microsoft.com/office/drawing/2014/main" id="{00000000-0008-0000-0100-0000B8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21" name="Text Box 3">
          <a:extLst>
            <a:ext uri="{FF2B5EF4-FFF2-40B4-BE49-F238E27FC236}">
              <a16:creationId xmlns:a16="http://schemas.microsoft.com/office/drawing/2014/main" id="{00000000-0008-0000-0100-0000B9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22" name="Text Box 32">
          <a:extLst>
            <a:ext uri="{FF2B5EF4-FFF2-40B4-BE49-F238E27FC236}">
              <a16:creationId xmlns:a16="http://schemas.microsoft.com/office/drawing/2014/main" id="{00000000-0008-0000-0100-0000BA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23" name="Text Box 3">
          <a:extLst>
            <a:ext uri="{FF2B5EF4-FFF2-40B4-BE49-F238E27FC236}">
              <a16:creationId xmlns:a16="http://schemas.microsoft.com/office/drawing/2014/main" id="{00000000-0008-0000-0100-0000BB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24" name="Text Box 63">
          <a:extLst>
            <a:ext uri="{FF2B5EF4-FFF2-40B4-BE49-F238E27FC236}">
              <a16:creationId xmlns:a16="http://schemas.microsoft.com/office/drawing/2014/main" id="{00000000-0008-0000-0100-0000BC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25" name="Text Box 3">
          <a:extLst>
            <a:ext uri="{FF2B5EF4-FFF2-40B4-BE49-F238E27FC236}">
              <a16:creationId xmlns:a16="http://schemas.microsoft.com/office/drawing/2014/main" id="{00000000-0008-0000-0100-0000BD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26" name="Text Box 32">
          <a:extLst>
            <a:ext uri="{FF2B5EF4-FFF2-40B4-BE49-F238E27FC236}">
              <a16:creationId xmlns:a16="http://schemas.microsoft.com/office/drawing/2014/main" id="{00000000-0008-0000-0100-0000BE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27" name="Text Box 3">
          <a:extLst>
            <a:ext uri="{FF2B5EF4-FFF2-40B4-BE49-F238E27FC236}">
              <a16:creationId xmlns:a16="http://schemas.microsoft.com/office/drawing/2014/main" id="{00000000-0008-0000-0100-0000BF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28" name="Text Box 63">
          <a:extLst>
            <a:ext uri="{FF2B5EF4-FFF2-40B4-BE49-F238E27FC236}">
              <a16:creationId xmlns:a16="http://schemas.microsoft.com/office/drawing/2014/main" id="{00000000-0008-0000-0100-0000C0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29" name="Text Box 3">
          <a:extLst>
            <a:ext uri="{FF2B5EF4-FFF2-40B4-BE49-F238E27FC236}">
              <a16:creationId xmlns:a16="http://schemas.microsoft.com/office/drawing/2014/main" id="{00000000-0008-0000-0100-0000C1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30" name="Text Box 32">
          <a:extLst>
            <a:ext uri="{FF2B5EF4-FFF2-40B4-BE49-F238E27FC236}">
              <a16:creationId xmlns:a16="http://schemas.microsoft.com/office/drawing/2014/main" id="{00000000-0008-0000-0100-0000C2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31" name="Text Box 3">
          <a:extLst>
            <a:ext uri="{FF2B5EF4-FFF2-40B4-BE49-F238E27FC236}">
              <a16:creationId xmlns:a16="http://schemas.microsoft.com/office/drawing/2014/main" id="{00000000-0008-0000-0100-0000C3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32" name="Text Box 63">
          <a:extLst>
            <a:ext uri="{FF2B5EF4-FFF2-40B4-BE49-F238E27FC236}">
              <a16:creationId xmlns:a16="http://schemas.microsoft.com/office/drawing/2014/main" id="{00000000-0008-0000-0100-0000C4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33" name="Text Box 3">
          <a:extLst>
            <a:ext uri="{FF2B5EF4-FFF2-40B4-BE49-F238E27FC236}">
              <a16:creationId xmlns:a16="http://schemas.microsoft.com/office/drawing/2014/main" id="{00000000-0008-0000-0100-0000C5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34" name="Text Box 32">
          <a:extLst>
            <a:ext uri="{FF2B5EF4-FFF2-40B4-BE49-F238E27FC236}">
              <a16:creationId xmlns:a16="http://schemas.microsoft.com/office/drawing/2014/main" id="{00000000-0008-0000-0100-0000C6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35" name="Text Box 3">
          <a:extLst>
            <a:ext uri="{FF2B5EF4-FFF2-40B4-BE49-F238E27FC236}">
              <a16:creationId xmlns:a16="http://schemas.microsoft.com/office/drawing/2014/main" id="{00000000-0008-0000-0100-0000C7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36" name="Text Box 63">
          <a:extLst>
            <a:ext uri="{FF2B5EF4-FFF2-40B4-BE49-F238E27FC236}">
              <a16:creationId xmlns:a16="http://schemas.microsoft.com/office/drawing/2014/main" id="{00000000-0008-0000-0100-0000C8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37" name="Text Box 3">
          <a:extLst>
            <a:ext uri="{FF2B5EF4-FFF2-40B4-BE49-F238E27FC236}">
              <a16:creationId xmlns:a16="http://schemas.microsoft.com/office/drawing/2014/main" id="{00000000-0008-0000-0100-0000C9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38" name="Text Box 32">
          <a:extLst>
            <a:ext uri="{FF2B5EF4-FFF2-40B4-BE49-F238E27FC236}">
              <a16:creationId xmlns:a16="http://schemas.microsoft.com/office/drawing/2014/main" id="{00000000-0008-0000-0100-0000CA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39" name="Text Box 3">
          <a:extLst>
            <a:ext uri="{FF2B5EF4-FFF2-40B4-BE49-F238E27FC236}">
              <a16:creationId xmlns:a16="http://schemas.microsoft.com/office/drawing/2014/main" id="{00000000-0008-0000-0100-0000CB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40" name="Text Box 63">
          <a:extLst>
            <a:ext uri="{FF2B5EF4-FFF2-40B4-BE49-F238E27FC236}">
              <a16:creationId xmlns:a16="http://schemas.microsoft.com/office/drawing/2014/main" id="{00000000-0008-0000-0100-0000CC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41" name="Text Box 3">
          <a:extLst>
            <a:ext uri="{FF2B5EF4-FFF2-40B4-BE49-F238E27FC236}">
              <a16:creationId xmlns:a16="http://schemas.microsoft.com/office/drawing/2014/main" id="{00000000-0008-0000-0100-0000CD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42" name="Text Box 32">
          <a:extLst>
            <a:ext uri="{FF2B5EF4-FFF2-40B4-BE49-F238E27FC236}">
              <a16:creationId xmlns:a16="http://schemas.microsoft.com/office/drawing/2014/main" id="{00000000-0008-0000-0100-0000CE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43" name="Text Box 3">
          <a:extLst>
            <a:ext uri="{FF2B5EF4-FFF2-40B4-BE49-F238E27FC236}">
              <a16:creationId xmlns:a16="http://schemas.microsoft.com/office/drawing/2014/main" id="{00000000-0008-0000-0100-0000CF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44" name="Text Box 63">
          <a:extLst>
            <a:ext uri="{FF2B5EF4-FFF2-40B4-BE49-F238E27FC236}">
              <a16:creationId xmlns:a16="http://schemas.microsoft.com/office/drawing/2014/main" id="{00000000-0008-0000-0100-0000D0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45" name="Text Box 3">
          <a:extLst>
            <a:ext uri="{FF2B5EF4-FFF2-40B4-BE49-F238E27FC236}">
              <a16:creationId xmlns:a16="http://schemas.microsoft.com/office/drawing/2014/main" id="{00000000-0008-0000-0100-0000D1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46" name="Text Box 32">
          <a:extLst>
            <a:ext uri="{FF2B5EF4-FFF2-40B4-BE49-F238E27FC236}">
              <a16:creationId xmlns:a16="http://schemas.microsoft.com/office/drawing/2014/main" id="{00000000-0008-0000-0100-0000D2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47" name="Text Box 3">
          <a:extLst>
            <a:ext uri="{FF2B5EF4-FFF2-40B4-BE49-F238E27FC236}">
              <a16:creationId xmlns:a16="http://schemas.microsoft.com/office/drawing/2014/main" id="{00000000-0008-0000-0100-0000D3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48" name="Text Box 63">
          <a:extLst>
            <a:ext uri="{FF2B5EF4-FFF2-40B4-BE49-F238E27FC236}">
              <a16:creationId xmlns:a16="http://schemas.microsoft.com/office/drawing/2014/main" id="{00000000-0008-0000-0100-0000D4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49" name="Text Box 3">
          <a:extLst>
            <a:ext uri="{FF2B5EF4-FFF2-40B4-BE49-F238E27FC236}">
              <a16:creationId xmlns:a16="http://schemas.microsoft.com/office/drawing/2014/main" id="{00000000-0008-0000-0100-0000D5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50" name="Text Box 32">
          <a:extLst>
            <a:ext uri="{FF2B5EF4-FFF2-40B4-BE49-F238E27FC236}">
              <a16:creationId xmlns:a16="http://schemas.microsoft.com/office/drawing/2014/main" id="{00000000-0008-0000-0100-0000D6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51" name="Text Box 3">
          <a:extLst>
            <a:ext uri="{FF2B5EF4-FFF2-40B4-BE49-F238E27FC236}">
              <a16:creationId xmlns:a16="http://schemas.microsoft.com/office/drawing/2014/main" id="{00000000-0008-0000-0100-0000D7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52" name="Text Box 63">
          <a:extLst>
            <a:ext uri="{FF2B5EF4-FFF2-40B4-BE49-F238E27FC236}">
              <a16:creationId xmlns:a16="http://schemas.microsoft.com/office/drawing/2014/main" id="{00000000-0008-0000-0100-0000D8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53" name="Text Box 3">
          <a:extLst>
            <a:ext uri="{FF2B5EF4-FFF2-40B4-BE49-F238E27FC236}">
              <a16:creationId xmlns:a16="http://schemas.microsoft.com/office/drawing/2014/main" id="{00000000-0008-0000-0100-0000D9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54" name="Text Box 32">
          <a:extLst>
            <a:ext uri="{FF2B5EF4-FFF2-40B4-BE49-F238E27FC236}">
              <a16:creationId xmlns:a16="http://schemas.microsoft.com/office/drawing/2014/main" id="{00000000-0008-0000-0100-0000DA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55" name="Text Box 3">
          <a:extLst>
            <a:ext uri="{FF2B5EF4-FFF2-40B4-BE49-F238E27FC236}">
              <a16:creationId xmlns:a16="http://schemas.microsoft.com/office/drawing/2014/main" id="{00000000-0008-0000-0100-0000DB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56" name="Text Box 63">
          <a:extLst>
            <a:ext uri="{FF2B5EF4-FFF2-40B4-BE49-F238E27FC236}">
              <a16:creationId xmlns:a16="http://schemas.microsoft.com/office/drawing/2014/main" id="{00000000-0008-0000-0100-0000DC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57" name="Text Box 3">
          <a:extLst>
            <a:ext uri="{FF2B5EF4-FFF2-40B4-BE49-F238E27FC236}">
              <a16:creationId xmlns:a16="http://schemas.microsoft.com/office/drawing/2014/main" id="{00000000-0008-0000-0100-0000DD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58" name="Text Box 32">
          <a:extLst>
            <a:ext uri="{FF2B5EF4-FFF2-40B4-BE49-F238E27FC236}">
              <a16:creationId xmlns:a16="http://schemas.microsoft.com/office/drawing/2014/main" id="{00000000-0008-0000-0100-0000DE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59" name="Text Box 3">
          <a:extLst>
            <a:ext uri="{FF2B5EF4-FFF2-40B4-BE49-F238E27FC236}">
              <a16:creationId xmlns:a16="http://schemas.microsoft.com/office/drawing/2014/main" id="{00000000-0008-0000-0100-0000DF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60" name="Text Box 63">
          <a:extLst>
            <a:ext uri="{FF2B5EF4-FFF2-40B4-BE49-F238E27FC236}">
              <a16:creationId xmlns:a16="http://schemas.microsoft.com/office/drawing/2014/main" id="{00000000-0008-0000-0100-0000E0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61" name="Text Box 3">
          <a:extLst>
            <a:ext uri="{FF2B5EF4-FFF2-40B4-BE49-F238E27FC236}">
              <a16:creationId xmlns:a16="http://schemas.microsoft.com/office/drawing/2014/main" id="{00000000-0008-0000-0100-0000E1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62" name="Text Box 32">
          <a:extLst>
            <a:ext uri="{FF2B5EF4-FFF2-40B4-BE49-F238E27FC236}">
              <a16:creationId xmlns:a16="http://schemas.microsoft.com/office/drawing/2014/main" id="{00000000-0008-0000-0100-0000E2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63" name="Text Box 3">
          <a:extLst>
            <a:ext uri="{FF2B5EF4-FFF2-40B4-BE49-F238E27FC236}">
              <a16:creationId xmlns:a16="http://schemas.microsoft.com/office/drawing/2014/main" id="{00000000-0008-0000-0100-0000E3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64" name="Text Box 63">
          <a:extLst>
            <a:ext uri="{FF2B5EF4-FFF2-40B4-BE49-F238E27FC236}">
              <a16:creationId xmlns:a16="http://schemas.microsoft.com/office/drawing/2014/main" id="{00000000-0008-0000-0100-0000E4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65" name="Text Box 3">
          <a:extLst>
            <a:ext uri="{FF2B5EF4-FFF2-40B4-BE49-F238E27FC236}">
              <a16:creationId xmlns:a16="http://schemas.microsoft.com/office/drawing/2014/main" id="{00000000-0008-0000-0100-0000E5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66" name="Text Box 32">
          <a:extLst>
            <a:ext uri="{FF2B5EF4-FFF2-40B4-BE49-F238E27FC236}">
              <a16:creationId xmlns:a16="http://schemas.microsoft.com/office/drawing/2014/main" id="{00000000-0008-0000-0100-0000E6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67" name="Text Box 3">
          <a:extLst>
            <a:ext uri="{FF2B5EF4-FFF2-40B4-BE49-F238E27FC236}">
              <a16:creationId xmlns:a16="http://schemas.microsoft.com/office/drawing/2014/main" id="{00000000-0008-0000-0100-0000E7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68" name="Text Box 63">
          <a:extLst>
            <a:ext uri="{FF2B5EF4-FFF2-40B4-BE49-F238E27FC236}">
              <a16:creationId xmlns:a16="http://schemas.microsoft.com/office/drawing/2014/main" id="{00000000-0008-0000-0100-0000E8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69" name="Text Box 3">
          <a:extLst>
            <a:ext uri="{FF2B5EF4-FFF2-40B4-BE49-F238E27FC236}">
              <a16:creationId xmlns:a16="http://schemas.microsoft.com/office/drawing/2014/main" id="{00000000-0008-0000-0100-0000E9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70" name="Text Box 32">
          <a:extLst>
            <a:ext uri="{FF2B5EF4-FFF2-40B4-BE49-F238E27FC236}">
              <a16:creationId xmlns:a16="http://schemas.microsoft.com/office/drawing/2014/main" id="{00000000-0008-0000-0100-0000EA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71" name="Text Box 3">
          <a:extLst>
            <a:ext uri="{FF2B5EF4-FFF2-40B4-BE49-F238E27FC236}">
              <a16:creationId xmlns:a16="http://schemas.microsoft.com/office/drawing/2014/main" id="{00000000-0008-0000-0100-0000EB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72" name="Text Box 63">
          <a:extLst>
            <a:ext uri="{FF2B5EF4-FFF2-40B4-BE49-F238E27FC236}">
              <a16:creationId xmlns:a16="http://schemas.microsoft.com/office/drawing/2014/main" id="{00000000-0008-0000-0100-0000EC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73" name="Text Box 3">
          <a:extLst>
            <a:ext uri="{FF2B5EF4-FFF2-40B4-BE49-F238E27FC236}">
              <a16:creationId xmlns:a16="http://schemas.microsoft.com/office/drawing/2014/main" id="{00000000-0008-0000-0100-0000ED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74" name="Text Box 32">
          <a:extLst>
            <a:ext uri="{FF2B5EF4-FFF2-40B4-BE49-F238E27FC236}">
              <a16:creationId xmlns:a16="http://schemas.microsoft.com/office/drawing/2014/main" id="{00000000-0008-0000-0100-0000EE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75" name="Text Box 3">
          <a:extLst>
            <a:ext uri="{FF2B5EF4-FFF2-40B4-BE49-F238E27FC236}">
              <a16:creationId xmlns:a16="http://schemas.microsoft.com/office/drawing/2014/main" id="{00000000-0008-0000-0100-0000EF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76" name="Text Box 63">
          <a:extLst>
            <a:ext uri="{FF2B5EF4-FFF2-40B4-BE49-F238E27FC236}">
              <a16:creationId xmlns:a16="http://schemas.microsoft.com/office/drawing/2014/main" id="{00000000-0008-0000-0100-0000F0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77" name="Text Box 3">
          <a:extLst>
            <a:ext uri="{FF2B5EF4-FFF2-40B4-BE49-F238E27FC236}">
              <a16:creationId xmlns:a16="http://schemas.microsoft.com/office/drawing/2014/main" id="{00000000-0008-0000-0100-0000F1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78" name="Text Box 32">
          <a:extLst>
            <a:ext uri="{FF2B5EF4-FFF2-40B4-BE49-F238E27FC236}">
              <a16:creationId xmlns:a16="http://schemas.microsoft.com/office/drawing/2014/main" id="{00000000-0008-0000-0100-0000F2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79" name="Text Box 3">
          <a:extLst>
            <a:ext uri="{FF2B5EF4-FFF2-40B4-BE49-F238E27FC236}">
              <a16:creationId xmlns:a16="http://schemas.microsoft.com/office/drawing/2014/main" id="{00000000-0008-0000-0100-0000F3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80" name="Text Box 63">
          <a:extLst>
            <a:ext uri="{FF2B5EF4-FFF2-40B4-BE49-F238E27FC236}">
              <a16:creationId xmlns:a16="http://schemas.microsoft.com/office/drawing/2014/main" id="{00000000-0008-0000-0100-0000F4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81" name="Text Box 3">
          <a:extLst>
            <a:ext uri="{FF2B5EF4-FFF2-40B4-BE49-F238E27FC236}">
              <a16:creationId xmlns:a16="http://schemas.microsoft.com/office/drawing/2014/main" id="{00000000-0008-0000-0100-0000F5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82" name="Text Box 32">
          <a:extLst>
            <a:ext uri="{FF2B5EF4-FFF2-40B4-BE49-F238E27FC236}">
              <a16:creationId xmlns:a16="http://schemas.microsoft.com/office/drawing/2014/main" id="{00000000-0008-0000-0100-0000F6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83" name="Text Box 3">
          <a:extLst>
            <a:ext uri="{FF2B5EF4-FFF2-40B4-BE49-F238E27FC236}">
              <a16:creationId xmlns:a16="http://schemas.microsoft.com/office/drawing/2014/main" id="{00000000-0008-0000-0100-0000F7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84" name="Text Box 63">
          <a:extLst>
            <a:ext uri="{FF2B5EF4-FFF2-40B4-BE49-F238E27FC236}">
              <a16:creationId xmlns:a16="http://schemas.microsoft.com/office/drawing/2014/main" id="{00000000-0008-0000-0100-0000F8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85" name="Text Box 3">
          <a:extLst>
            <a:ext uri="{FF2B5EF4-FFF2-40B4-BE49-F238E27FC236}">
              <a16:creationId xmlns:a16="http://schemas.microsoft.com/office/drawing/2014/main" id="{00000000-0008-0000-0100-0000F9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86" name="Text Box 32">
          <a:extLst>
            <a:ext uri="{FF2B5EF4-FFF2-40B4-BE49-F238E27FC236}">
              <a16:creationId xmlns:a16="http://schemas.microsoft.com/office/drawing/2014/main" id="{00000000-0008-0000-0100-0000FA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87" name="Text Box 3">
          <a:extLst>
            <a:ext uri="{FF2B5EF4-FFF2-40B4-BE49-F238E27FC236}">
              <a16:creationId xmlns:a16="http://schemas.microsoft.com/office/drawing/2014/main" id="{00000000-0008-0000-0100-0000FB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88" name="Text Box 63">
          <a:extLst>
            <a:ext uri="{FF2B5EF4-FFF2-40B4-BE49-F238E27FC236}">
              <a16:creationId xmlns:a16="http://schemas.microsoft.com/office/drawing/2014/main" id="{00000000-0008-0000-0100-0000FC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89" name="Text Box 3">
          <a:extLst>
            <a:ext uri="{FF2B5EF4-FFF2-40B4-BE49-F238E27FC236}">
              <a16:creationId xmlns:a16="http://schemas.microsoft.com/office/drawing/2014/main" id="{00000000-0008-0000-0100-0000FD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90" name="Text Box 32">
          <a:extLst>
            <a:ext uri="{FF2B5EF4-FFF2-40B4-BE49-F238E27FC236}">
              <a16:creationId xmlns:a16="http://schemas.microsoft.com/office/drawing/2014/main" id="{00000000-0008-0000-0100-0000FE06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91" name="Text Box 3">
          <a:extLst>
            <a:ext uri="{FF2B5EF4-FFF2-40B4-BE49-F238E27FC236}">
              <a16:creationId xmlns:a16="http://schemas.microsoft.com/office/drawing/2014/main" id="{00000000-0008-0000-0100-0000FF06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92" name="Text Box 63">
          <a:extLst>
            <a:ext uri="{FF2B5EF4-FFF2-40B4-BE49-F238E27FC236}">
              <a16:creationId xmlns:a16="http://schemas.microsoft.com/office/drawing/2014/main" id="{00000000-0008-0000-0100-000000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93" name="Text Box 3">
          <a:extLst>
            <a:ext uri="{FF2B5EF4-FFF2-40B4-BE49-F238E27FC236}">
              <a16:creationId xmlns:a16="http://schemas.microsoft.com/office/drawing/2014/main" id="{00000000-0008-0000-0100-000001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94" name="Text Box 32">
          <a:extLst>
            <a:ext uri="{FF2B5EF4-FFF2-40B4-BE49-F238E27FC236}">
              <a16:creationId xmlns:a16="http://schemas.microsoft.com/office/drawing/2014/main" id="{00000000-0008-0000-0100-000002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95" name="Text Box 3">
          <a:extLst>
            <a:ext uri="{FF2B5EF4-FFF2-40B4-BE49-F238E27FC236}">
              <a16:creationId xmlns:a16="http://schemas.microsoft.com/office/drawing/2014/main" id="{00000000-0008-0000-0100-000003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96" name="Text Box 63">
          <a:extLst>
            <a:ext uri="{FF2B5EF4-FFF2-40B4-BE49-F238E27FC236}">
              <a16:creationId xmlns:a16="http://schemas.microsoft.com/office/drawing/2014/main" id="{00000000-0008-0000-0100-000004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97" name="Text Box 3">
          <a:extLst>
            <a:ext uri="{FF2B5EF4-FFF2-40B4-BE49-F238E27FC236}">
              <a16:creationId xmlns:a16="http://schemas.microsoft.com/office/drawing/2014/main" id="{00000000-0008-0000-0100-000005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798" name="Text Box 32">
          <a:extLst>
            <a:ext uri="{FF2B5EF4-FFF2-40B4-BE49-F238E27FC236}">
              <a16:creationId xmlns:a16="http://schemas.microsoft.com/office/drawing/2014/main" id="{00000000-0008-0000-0100-000006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799" name="Text Box 3">
          <a:extLst>
            <a:ext uri="{FF2B5EF4-FFF2-40B4-BE49-F238E27FC236}">
              <a16:creationId xmlns:a16="http://schemas.microsoft.com/office/drawing/2014/main" id="{00000000-0008-0000-0100-000007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00" name="Text Box 63">
          <a:extLst>
            <a:ext uri="{FF2B5EF4-FFF2-40B4-BE49-F238E27FC236}">
              <a16:creationId xmlns:a16="http://schemas.microsoft.com/office/drawing/2014/main" id="{00000000-0008-0000-0100-000008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01" name="Text Box 3">
          <a:extLst>
            <a:ext uri="{FF2B5EF4-FFF2-40B4-BE49-F238E27FC236}">
              <a16:creationId xmlns:a16="http://schemas.microsoft.com/office/drawing/2014/main" id="{00000000-0008-0000-0100-000009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02" name="Text Box 32">
          <a:extLst>
            <a:ext uri="{FF2B5EF4-FFF2-40B4-BE49-F238E27FC236}">
              <a16:creationId xmlns:a16="http://schemas.microsoft.com/office/drawing/2014/main" id="{00000000-0008-0000-0100-00000A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03" name="Text Box 3">
          <a:extLst>
            <a:ext uri="{FF2B5EF4-FFF2-40B4-BE49-F238E27FC236}">
              <a16:creationId xmlns:a16="http://schemas.microsoft.com/office/drawing/2014/main" id="{00000000-0008-0000-0100-00000B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04" name="Text Box 63">
          <a:extLst>
            <a:ext uri="{FF2B5EF4-FFF2-40B4-BE49-F238E27FC236}">
              <a16:creationId xmlns:a16="http://schemas.microsoft.com/office/drawing/2014/main" id="{00000000-0008-0000-0100-00000C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05" name="Text Box 3">
          <a:extLst>
            <a:ext uri="{FF2B5EF4-FFF2-40B4-BE49-F238E27FC236}">
              <a16:creationId xmlns:a16="http://schemas.microsoft.com/office/drawing/2014/main" id="{00000000-0008-0000-0100-00000D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06" name="Text Box 32">
          <a:extLst>
            <a:ext uri="{FF2B5EF4-FFF2-40B4-BE49-F238E27FC236}">
              <a16:creationId xmlns:a16="http://schemas.microsoft.com/office/drawing/2014/main" id="{00000000-0008-0000-0100-00000E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07" name="Text Box 3">
          <a:extLst>
            <a:ext uri="{FF2B5EF4-FFF2-40B4-BE49-F238E27FC236}">
              <a16:creationId xmlns:a16="http://schemas.microsoft.com/office/drawing/2014/main" id="{00000000-0008-0000-0100-00000F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08" name="Text Box 63">
          <a:extLst>
            <a:ext uri="{FF2B5EF4-FFF2-40B4-BE49-F238E27FC236}">
              <a16:creationId xmlns:a16="http://schemas.microsoft.com/office/drawing/2014/main" id="{00000000-0008-0000-0100-000010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09" name="Text Box 3">
          <a:extLst>
            <a:ext uri="{FF2B5EF4-FFF2-40B4-BE49-F238E27FC236}">
              <a16:creationId xmlns:a16="http://schemas.microsoft.com/office/drawing/2014/main" id="{00000000-0008-0000-0100-000011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10" name="Text Box 32">
          <a:extLst>
            <a:ext uri="{FF2B5EF4-FFF2-40B4-BE49-F238E27FC236}">
              <a16:creationId xmlns:a16="http://schemas.microsoft.com/office/drawing/2014/main" id="{00000000-0008-0000-0100-000012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11" name="Text Box 3">
          <a:extLst>
            <a:ext uri="{FF2B5EF4-FFF2-40B4-BE49-F238E27FC236}">
              <a16:creationId xmlns:a16="http://schemas.microsoft.com/office/drawing/2014/main" id="{00000000-0008-0000-0100-000013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12" name="Text Box 63">
          <a:extLst>
            <a:ext uri="{FF2B5EF4-FFF2-40B4-BE49-F238E27FC236}">
              <a16:creationId xmlns:a16="http://schemas.microsoft.com/office/drawing/2014/main" id="{00000000-0008-0000-0100-000014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13" name="Text Box 3">
          <a:extLst>
            <a:ext uri="{FF2B5EF4-FFF2-40B4-BE49-F238E27FC236}">
              <a16:creationId xmlns:a16="http://schemas.microsoft.com/office/drawing/2014/main" id="{00000000-0008-0000-0100-000015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14" name="Text Box 32">
          <a:extLst>
            <a:ext uri="{FF2B5EF4-FFF2-40B4-BE49-F238E27FC236}">
              <a16:creationId xmlns:a16="http://schemas.microsoft.com/office/drawing/2014/main" id="{00000000-0008-0000-0100-000016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15" name="Text Box 3">
          <a:extLst>
            <a:ext uri="{FF2B5EF4-FFF2-40B4-BE49-F238E27FC236}">
              <a16:creationId xmlns:a16="http://schemas.microsoft.com/office/drawing/2014/main" id="{00000000-0008-0000-0100-000017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16" name="Text Box 63">
          <a:extLst>
            <a:ext uri="{FF2B5EF4-FFF2-40B4-BE49-F238E27FC236}">
              <a16:creationId xmlns:a16="http://schemas.microsoft.com/office/drawing/2014/main" id="{00000000-0008-0000-0100-000018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17" name="Text Box 3">
          <a:extLst>
            <a:ext uri="{FF2B5EF4-FFF2-40B4-BE49-F238E27FC236}">
              <a16:creationId xmlns:a16="http://schemas.microsoft.com/office/drawing/2014/main" id="{00000000-0008-0000-0100-000019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18" name="Text Box 32">
          <a:extLst>
            <a:ext uri="{FF2B5EF4-FFF2-40B4-BE49-F238E27FC236}">
              <a16:creationId xmlns:a16="http://schemas.microsoft.com/office/drawing/2014/main" id="{00000000-0008-0000-0100-00001A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19" name="Text Box 3">
          <a:extLst>
            <a:ext uri="{FF2B5EF4-FFF2-40B4-BE49-F238E27FC236}">
              <a16:creationId xmlns:a16="http://schemas.microsoft.com/office/drawing/2014/main" id="{00000000-0008-0000-0100-00001B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20" name="Text Box 63">
          <a:extLst>
            <a:ext uri="{FF2B5EF4-FFF2-40B4-BE49-F238E27FC236}">
              <a16:creationId xmlns:a16="http://schemas.microsoft.com/office/drawing/2014/main" id="{00000000-0008-0000-0100-00001C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21" name="Text Box 3">
          <a:extLst>
            <a:ext uri="{FF2B5EF4-FFF2-40B4-BE49-F238E27FC236}">
              <a16:creationId xmlns:a16="http://schemas.microsoft.com/office/drawing/2014/main" id="{00000000-0008-0000-0100-00001D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22" name="Text Box 32">
          <a:extLst>
            <a:ext uri="{FF2B5EF4-FFF2-40B4-BE49-F238E27FC236}">
              <a16:creationId xmlns:a16="http://schemas.microsoft.com/office/drawing/2014/main" id="{00000000-0008-0000-0100-00001E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23" name="Text Box 3">
          <a:extLst>
            <a:ext uri="{FF2B5EF4-FFF2-40B4-BE49-F238E27FC236}">
              <a16:creationId xmlns:a16="http://schemas.microsoft.com/office/drawing/2014/main" id="{00000000-0008-0000-0100-00001F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24" name="Text Box 63">
          <a:extLst>
            <a:ext uri="{FF2B5EF4-FFF2-40B4-BE49-F238E27FC236}">
              <a16:creationId xmlns:a16="http://schemas.microsoft.com/office/drawing/2014/main" id="{00000000-0008-0000-0100-000020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25" name="Text Box 3">
          <a:extLst>
            <a:ext uri="{FF2B5EF4-FFF2-40B4-BE49-F238E27FC236}">
              <a16:creationId xmlns:a16="http://schemas.microsoft.com/office/drawing/2014/main" id="{00000000-0008-0000-0100-000021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26" name="Text Box 32">
          <a:extLst>
            <a:ext uri="{FF2B5EF4-FFF2-40B4-BE49-F238E27FC236}">
              <a16:creationId xmlns:a16="http://schemas.microsoft.com/office/drawing/2014/main" id="{00000000-0008-0000-0100-000022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27" name="Text Box 3">
          <a:extLst>
            <a:ext uri="{FF2B5EF4-FFF2-40B4-BE49-F238E27FC236}">
              <a16:creationId xmlns:a16="http://schemas.microsoft.com/office/drawing/2014/main" id="{00000000-0008-0000-0100-000023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28" name="Text Box 63">
          <a:extLst>
            <a:ext uri="{FF2B5EF4-FFF2-40B4-BE49-F238E27FC236}">
              <a16:creationId xmlns:a16="http://schemas.microsoft.com/office/drawing/2014/main" id="{00000000-0008-0000-0100-000024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29" name="Text Box 3">
          <a:extLst>
            <a:ext uri="{FF2B5EF4-FFF2-40B4-BE49-F238E27FC236}">
              <a16:creationId xmlns:a16="http://schemas.microsoft.com/office/drawing/2014/main" id="{00000000-0008-0000-0100-000025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30" name="Text Box 32">
          <a:extLst>
            <a:ext uri="{FF2B5EF4-FFF2-40B4-BE49-F238E27FC236}">
              <a16:creationId xmlns:a16="http://schemas.microsoft.com/office/drawing/2014/main" id="{00000000-0008-0000-0100-000026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31" name="Text Box 3">
          <a:extLst>
            <a:ext uri="{FF2B5EF4-FFF2-40B4-BE49-F238E27FC236}">
              <a16:creationId xmlns:a16="http://schemas.microsoft.com/office/drawing/2014/main" id="{00000000-0008-0000-0100-000027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32" name="Text Box 63">
          <a:extLst>
            <a:ext uri="{FF2B5EF4-FFF2-40B4-BE49-F238E27FC236}">
              <a16:creationId xmlns:a16="http://schemas.microsoft.com/office/drawing/2014/main" id="{00000000-0008-0000-0100-000028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33" name="Text Box 3">
          <a:extLst>
            <a:ext uri="{FF2B5EF4-FFF2-40B4-BE49-F238E27FC236}">
              <a16:creationId xmlns:a16="http://schemas.microsoft.com/office/drawing/2014/main" id="{00000000-0008-0000-0100-000029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34" name="Text Box 32">
          <a:extLst>
            <a:ext uri="{FF2B5EF4-FFF2-40B4-BE49-F238E27FC236}">
              <a16:creationId xmlns:a16="http://schemas.microsoft.com/office/drawing/2014/main" id="{00000000-0008-0000-0100-00002A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35" name="Text Box 3">
          <a:extLst>
            <a:ext uri="{FF2B5EF4-FFF2-40B4-BE49-F238E27FC236}">
              <a16:creationId xmlns:a16="http://schemas.microsoft.com/office/drawing/2014/main" id="{00000000-0008-0000-0100-00002B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36" name="Text Box 63">
          <a:extLst>
            <a:ext uri="{FF2B5EF4-FFF2-40B4-BE49-F238E27FC236}">
              <a16:creationId xmlns:a16="http://schemas.microsoft.com/office/drawing/2014/main" id="{00000000-0008-0000-0100-00002C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37" name="Text Box 3">
          <a:extLst>
            <a:ext uri="{FF2B5EF4-FFF2-40B4-BE49-F238E27FC236}">
              <a16:creationId xmlns:a16="http://schemas.microsoft.com/office/drawing/2014/main" id="{00000000-0008-0000-0100-00002D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38" name="Text Box 32">
          <a:extLst>
            <a:ext uri="{FF2B5EF4-FFF2-40B4-BE49-F238E27FC236}">
              <a16:creationId xmlns:a16="http://schemas.microsoft.com/office/drawing/2014/main" id="{00000000-0008-0000-0100-00002E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39" name="Text Box 3">
          <a:extLst>
            <a:ext uri="{FF2B5EF4-FFF2-40B4-BE49-F238E27FC236}">
              <a16:creationId xmlns:a16="http://schemas.microsoft.com/office/drawing/2014/main" id="{00000000-0008-0000-0100-00002F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40" name="Text Box 63">
          <a:extLst>
            <a:ext uri="{FF2B5EF4-FFF2-40B4-BE49-F238E27FC236}">
              <a16:creationId xmlns:a16="http://schemas.microsoft.com/office/drawing/2014/main" id="{00000000-0008-0000-0100-000030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41" name="Text Box 3">
          <a:extLst>
            <a:ext uri="{FF2B5EF4-FFF2-40B4-BE49-F238E27FC236}">
              <a16:creationId xmlns:a16="http://schemas.microsoft.com/office/drawing/2014/main" id="{00000000-0008-0000-0100-000031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42" name="Text Box 32">
          <a:extLst>
            <a:ext uri="{FF2B5EF4-FFF2-40B4-BE49-F238E27FC236}">
              <a16:creationId xmlns:a16="http://schemas.microsoft.com/office/drawing/2014/main" id="{00000000-0008-0000-0100-000032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43" name="Text Box 3">
          <a:extLst>
            <a:ext uri="{FF2B5EF4-FFF2-40B4-BE49-F238E27FC236}">
              <a16:creationId xmlns:a16="http://schemas.microsoft.com/office/drawing/2014/main" id="{00000000-0008-0000-0100-000033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44" name="Text Box 63">
          <a:extLst>
            <a:ext uri="{FF2B5EF4-FFF2-40B4-BE49-F238E27FC236}">
              <a16:creationId xmlns:a16="http://schemas.microsoft.com/office/drawing/2014/main" id="{00000000-0008-0000-0100-000034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45" name="Text Box 3">
          <a:extLst>
            <a:ext uri="{FF2B5EF4-FFF2-40B4-BE49-F238E27FC236}">
              <a16:creationId xmlns:a16="http://schemas.microsoft.com/office/drawing/2014/main" id="{00000000-0008-0000-0100-000035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46" name="Text Box 32">
          <a:extLst>
            <a:ext uri="{FF2B5EF4-FFF2-40B4-BE49-F238E27FC236}">
              <a16:creationId xmlns:a16="http://schemas.microsoft.com/office/drawing/2014/main" id="{00000000-0008-0000-0100-000036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47" name="Text Box 3">
          <a:extLst>
            <a:ext uri="{FF2B5EF4-FFF2-40B4-BE49-F238E27FC236}">
              <a16:creationId xmlns:a16="http://schemas.microsoft.com/office/drawing/2014/main" id="{00000000-0008-0000-0100-000037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48" name="Text Box 63">
          <a:extLst>
            <a:ext uri="{FF2B5EF4-FFF2-40B4-BE49-F238E27FC236}">
              <a16:creationId xmlns:a16="http://schemas.microsoft.com/office/drawing/2014/main" id="{00000000-0008-0000-0100-000038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49" name="Text Box 3">
          <a:extLst>
            <a:ext uri="{FF2B5EF4-FFF2-40B4-BE49-F238E27FC236}">
              <a16:creationId xmlns:a16="http://schemas.microsoft.com/office/drawing/2014/main" id="{00000000-0008-0000-0100-000039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50" name="Text Box 32">
          <a:extLst>
            <a:ext uri="{FF2B5EF4-FFF2-40B4-BE49-F238E27FC236}">
              <a16:creationId xmlns:a16="http://schemas.microsoft.com/office/drawing/2014/main" id="{00000000-0008-0000-0100-00003A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51" name="Text Box 3">
          <a:extLst>
            <a:ext uri="{FF2B5EF4-FFF2-40B4-BE49-F238E27FC236}">
              <a16:creationId xmlns:a16="http://schemas.microsoft.com/office/drawing/2014/main" id="{00000000-0008-0000-0100-00003B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52" name="Text Box 63">
          <a:extLst>
            <a:ext uri="{FF2B5EF4-FFF2-40B4-BE49-F238E27FC236}">
              <a16:creationId xmlns:a16="http://schemas.microsoft.com/office/drawing/2014/main" id="{00000000-0008-0000-0100-00003C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53" name="Text Box 3">
          <a:extLst>
            <a:ext uri="{FF2B5EF4-FFF2-40B4-BE49-F238E27FC236}">
              <a16:creationId xmlns:a16="http://schemas.microsoft.com/office/drawing/2014/main" id="{00000000-0008-0000-0100-00003D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54" name="Text Box 32">
          <a:extLst>
            <a:ext uri="{FF2B5EF4-FFF2-40B4-BE49-F238E27FC236}">
              <a16:creationId xmlns:a16="http://schemas.microsoft.com/office/drawing/2014/main" id="{00000000-0008-0000-0100-00003E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55" name="Text Box 3">
          <a:extLst>
            <a:ext uri="{FF2B5EF4-FFF2-40B4-BE49-F238E27FC236}">
              <a16:creationId xmlns:a16="http://schemas.microsoft.com/office/drawing/2014/main" id="{00000000-0008-0000-0100-00003F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56" name="Text Box 63">
          <a:extLst>
            <a:ext uri="{FF2B5EF4-FFF2-40B4-BE49-F238E27FC236}">
              <a16:creationId xmlns:a16="http://schemas.microsoft.com/office/drawing/2014/main" id="{00000000-0008-0000-0100-000040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57" name="Text Box 3">
          <a:extLst>
            <a:ext uri="{FF2B5EF4-FFF2-40B4-BE49-F238E27FC236}">
              <a16:creationId xmlns:a16="http://schemas.microsoft.com/office/drawing/2014/main" id="{00000000-0008-0000-0100-000041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58" name="Text Box 32">
          <a:extLst>
            <a:ext uri="{FF2B5EF4-FFF2-40B4-BE49-F238E27FC236}">
              <a16:creationId xmlns:a16="http://schemas.microsoft.com/office/drawing/2014/main" id="{00000000-0008-0000-0100-000042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59" name="Text Box 3">
          <a:extLst>
            <a:ext uri="{FF2B5EF4-FFF2-40B4-BE49-F238E27FC236}">
              <a16:creationId xmlns:a16="http://schemas.microsoft.com/office/drawing/2014/main" id="{00000000-0008-0000-0100-000043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60" name="Text Box 63">
          <a:extLst>
            <a:ext uri="{FF2B5EF4-FFF2-40B4-BE49-F238E27FC236}">
              <a16:creationId xmlns:a16="http://schemas.microsoft.com/office/drawing/2014/main" id="{00000000-0008-0000-0100-000044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61" name="Text Box 3">
          <a:extLst>
            <a:ext uri="{FF2B5EF4-FFF2-40B4-BE49-F238E27FC236}">
              <a16:creationId xmlns:a16="http://schemas.microsoft.com/office/drawing/2014/main" id="{00000000-0008-0000-0100-000045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62" name="Text Box 32">
          <a:extLst>
            <a:ext uri="{FF2B5EF4-FFF2-40B4-BE49-F238E27FC236}">
              <a16:creationId xmlns:a16="http://schemas.microsoft.com/office/drawing/2014/main" id="{00000000-0008-0000-0100-000046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63" name="Text Box 3">
          <a:extLst>
            <a:ext uri="{FF2B5EF4-FFF2-40B4-BE49-F238E27FC236}">
              <a16:creationId xmlns:a16="http://schemas.microsoft.com/office/drawing/2014/main" id="{00000000-0008-0000-0100-000047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64" name="Text Box 63">
          <a:extLst>
            <a:ext uri="{FF2B5EF4-FFF2-40B4-BE49-F238E27FC236}">
              <a16:creationId xmlns:a16="http://schemas.microsoft.com/office/drawing/2014/main" id="{00000000-0008-0000-0100-000048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65" name="Text Box 3">
          <a:extLst>
            <a:ext uri="{FF2B5EF4-FFF2-40B4-BE49-F238E27FC236}">
              <a16:creationId xmlns:a16="http://schemas.microsoft.com/office/drawing/2014/main" id="{00000000-0008-0000-0100-000049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66" name="Text Box 32">
          <a:extLst>
            <a:ext uri="{FF2B5EF4-FFF2-40B4-BE49-F238E27FC236}">
              <a16:creationId xmlns:a16="http://schemas.microsoft.com/office/drawing/2014/main" id="{00000000-0008-0000-0100-00004A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67" name="Text Box 3">
          <a:extLst>
            <a:ext uri="{FF2B5EF4-FFF2-40B4-BE49-F238E27FC236}">
              <a16:creationId xmlns:a16="http://schemas.microsoft.com/office/drawing/2014/main" id="{00000000-0008-0000-0100-00004B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68" name="Text Box 63">
          <a:extLst>
            <a:ext uri="{FF2B5EF4-FFF2-40B4-BE49-F238E27FC236}">
              <a16:creationId xmlns:a16="http://schemas.microsoft.com/office/drawing/2014/main" id="{00000000-0008-0000-0100-00004C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69" name="Text Box 3">
          <a:extLst>
            <a:ext uri="{FF2B5EF4-FFF2-40B4-BE49-F238E27FC236}">
              <a16:creationId xmlns:a16="http://schemas.microsoft.com/office/drawing/2014/main" id="{00000000-0008-0000-0100-00004D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70" name="Text Box 32">
          <a:extLst>
            <a:ext uri="{FF2B5EF4-FFF2-40B4-BE49-F238E27FC236}">
              <a16:creationId xmlns:a16="http://schemas.microsoft.com/office/drawing/2014/main" id="{00000000-0008-0000-0100-00004E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71" name="Text Box 3">
          <a:extLst>
            <a:ext uri="{FF2B5EF4-FFF2-40B4-BE49-F238E27FC236}">
              <a16:creationId xmlns:a16="http://schemas.microsoft.com/office/drawing/2014/main" id="{00000000-0008-0000-0100-00004F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72" name="Text Box 63">
          <a:extLst>
            <a:ext uri="{FF2B5EF4-FFF2-40B4-BE49-F238E27FC236}">
              <a16:creationId xmlns:a16="http://schemas.microsoft.com/office/drawing/2014/main" id="{00000000-0008-0000-0100-000050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73" name="Text Box 3">
          <a:extLst>
            <a:ext uri="{FF2B5EF4-FFF2-40B4-BE49-F238E27FC236}">
              <a16:creationId xmlns:a16="http://schemas.microsoft.com/office/drawing/2014/main" id="{00000000-0008-0000-0100-000051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74" name="Text Box 32">
          <a:extLst>
            <a:ext uri="{FF2B5EF4-FFF2-40B4-BE49-F238E27FC236}">
              <a16:creationId xmlns:a16="http://schemas.microsoft.com/office/drawing/2014/main" id="{00000000-0008-0000-0100-000052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75" name="Text Box 3">
          <a:extLst>
            <a:ext uri="{FF2B5EF4-FFF2-40B4-BE49-F238E27FC236}">
              <a16:creationId xmlns:a16="http://schemas.microsoft.com/office/drawing/2014/main" id="{00000000-0008-0000-0100-000053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76" name="Text Box 63">
          <a:extLst>
            <a:ext uri="{FF2B5EF4-FFF2-40B4-BE49-F238E27FC236}">
              <a16:creationId xmlns:a16="http://schemas.microsoft.com/office/drawing/2014/main" id="{00000000-0008-0000-0100-000054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77" name="Text Box 3">
          <a:extLst>
            <a:ext uri="{FF2B5EF4-FFF2-40B4-BE49-F238E27FC236}">
              <a16:creationId xmlns:a16="http://schemas.microsoft.com/office/drawing/2014/main" id="{00000000-0008-0000-0100-000055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78" name="Text Box 32">
          <a:extLst>
            <a:ext uri="{FF2B5EF4-FFF2-40B4-BE49-F238E27FC236}">
              <a16:creationId xmlns:a16="http://schemas.microsoft.com/office/drawing/2014/main" id="{00000000-0008-0000-0100-000056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79" name="Text Box 3">
          <a:extLst>
            <a:ext uri="{FF2B5EF4-FFF2-40B4-BE49-F238E27FC236}">
              <a16:creationId xmlns:a16="http://schemas.microsoft.com/office/drawing/2014/main" id="{00000000-0008-0000-0100-000057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80" name="Text Box 63">
          <a:extLst>
            <a:ext uri="{FF2B5EF4-FFF2-40B4-BE49-F238E27FC236}">
              <a16:creationId xmlns:a16="http://schemas.microsoft.com/office/drawing/2014/main" id="{00000000-0008-0000-0100-000058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81" name="Text Box 3">
          <a:extLst>
            <a:ext uri="{FF2B5EF4-FFF2-40B4-BE49-F238E27FC236}">
              <a16:creationId xmlns:a16="http://schemas.microsoft.com/office/drawing/2014/main" id="{00000000-0008-0000-0100-000059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82" name="Text Box 32">
          <a:extLst>
            <a:ext uri="{FF2B5EF4-FFF2-40B4-BE49-F238E27FC236}">
              <a16:creationId xmlns:a16="http://schemas.microsoft.com/office/drawing/2014/main" id="{00000000-0008-0000-0100-00005A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83" name="Text Box 3">
          <a:extLst>
            <a:ext uri="{FF2B5EF4-FFF2-40B4-BE49-F238E27FC236}">
              <a16:creationId xmlns:a16="http://schemas.microsoft.com/office/drawing/2014/main" id="{00000000-0008-0000-0100-00005B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84" name="Text Box 63">
          <a:extLst>
            <a:ext uri="{FF2B5EF4-FFF2-40B4-BE49-F238E27FC236}">
              <a16:creationId xmlns:a16="http://schemas.microsoft.com/office/drawing/2014/main" id="{00000000-0008-0000-0100-00005C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85" name="Text Box 3">
          <a:extLst>
            <a:ext uri="{FF2B5EF4-FFF2-40B4-BE49-F238E27FC236}">
              <a16:creationId xmlns:a16="http://schemas.microsoft.com/office/drawing/2014/main" id="{00000000-0008-0000-0100-00005D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86" name="Text Box 32">
          <a:extLst>
            <a:ext uri="{FF2B5EF4-FFF2-40B4-BE49-F238E27FC236}">
              <a16:creationId xmlns:a16="http://schemas.microsoft.com/office/drawing/2014/main" id="{00000000-0008-0000-0100-00005E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87" name="Text Box 3">
          <a:extLst>
            <a:ext uri="{FF2B5EF4-FFF2-40B4-BE49-F238E27FC236}">
              <a16:creationId xmlns:a16="http://schemas.microsoft.com/office/drawing/2014/main" id="{00000000-0008-0000-0100-00005F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88" name="Text Box 63">
          <a:extLst>
            <a:ext uri="{FF2B5EF4-FFF2-40B4-BE49-F238E27FC236}">
              <a16:creationId xmlns:a16="http://schemas.microsoft.com/office/drawing/2014/main" id="{00000000-0008-0000-0100-000060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89" name="Text Box 3">
          <a:extLst>
            <a:ext uri="{FF2B5EF4-FFF2-40B4-BE49-F238E27FC236}">
              <a16:creationId xmlns:a16="http://schemas.microsoft.com/office/drawing/2014/main" id="{00000000-0008-0000-0100-000061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90" name="Text Box 32">
          <a:extLst>
            <a:ext uri="{FF2B5EF4-FFF2-40B4-BE49-F238E27FC236}">
              <a16:creationId xmlns:a16="http://schemas.microsoft.com/office/drawing/2014/main" id="{00000000-0008-0000-0100-000062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91" name="Text Box 3">
          <a:extLst>
            <a:ext uri="{FF2B5EF4-FFF2-40B4-BE49-F238E27FC236}">
              <a16:creationId xmlns:a16="http://schemas.microsoft.com/office/drawing/2014/main" id="{00000000-0008-0000-0100-000063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92" name="Text Box 63">
          <a:extLst>
            <a:ext uri="{FF2B5EF4-FFF2-40B4-BE49-F238E27FC236}">
              <a16:creationId xmlns:a16="http://schemas.microsoft.com/office/drawing/2014/main" id="{00000000-0008-0000-0100-000064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93" name="Text Box 3">
          <a:extLst>
            <a:ext uri="{FF2B5EF4-FFF2-40B4-BE49-F238E27FC236}">
              <a16:creationId xmlns:a16="http://schemas.microsoft.com/office/drawing/2014/main" id="{00000000-0008-0000-0100-000065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94" name="Text Box 32">
          <a:extLst>
            <a:ext uri="{FF2B5EF4-FFF2-40B4-BE49-F238E27FC236}">
              <a16:creationId xmlns:a16="http://schemas.microsoft.com/office/drawing/2014/main" id="{00000000-0008-0000-0100-000066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95" name="Text Box 3">
          <a:extLst>
            <a:ext uri="{FF2B5EF4-FFF2-40B4-BE49-F238E27FC236}">
              <a16:creationId xmlns:a16="http://schemas.microsoft.com/office/drawing/2014/main" id="{00000000-0008-0000-0100-000067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96" name="Text Box 63">
          <a:extLst>
            <a:ext uri="{FF2B5EF4-FFF2-40B4-BE49-F238E27FC236}">
              <a16:creationId xmlns:a16="http://schemas.microsoft.com/office/drawing/2014/main" id="{00000000-0008-0000-0100-000068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97" name="Text Box 3">
          <a:extLst>
            <a:ext uri="{FF2B5EF4-FFF2-40B4-BE49-F238E27FC236}">
              <a16:creationId xmlns:a16="http://schemas.microsoft.com/office/drawing/2014/main" id="{00000000-0008-0000-0100-000069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898" name="Text Box 32">
          <a:extLst>
            <a:ext uri="{FF2B5EF4-FFF2-40B4-BE49-F238E27FC236}">
              <a16:creationId xmlns:a16="http://schemas.microsoft.com/office/drawing/2014/main" id="{00000000-0008-0000-0100-00006A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899" name="Text Box 3">
          <a:extLst>
            <a:ext uri="{FF2B5EF4-FFF2-40B4-BE49-F238E27FC236}">
              <a16:creationId xmlns:a16="http://schemas.microsoft.com/office/drawing/2014/main" id="{00000000-0008-0000-0100-00006B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00" name="Text Box 63">
          <a:extLst>
            <a:ext uri="{FF2B5EF4-FFF2-40B4-BE49-F238E27FC236}">
              <a16:creationId xmlns:a16="http://schemas.microsoft.com/office/drawing/2014/main" id="{00000000-0008-0000-0100-00006C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01" name="Text Box 3">
          <a:extLst>
            <a:ext uri="{FF2B5EF4-FFF2-40B4-BE49-F238E27FC236}">
              <a16:creationId xmlns:a16="http://schemas.microsoft.com/office/drawing/2014/main" id="{00000000-0008-0000-0100-00006D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02" name="Text Box 32">
          <a:extLst>
            <a:ext uri="{FF2B5EF4-FFF2-40B4-BE49-F238E27FC236}">
              <a16:creationId xmlns:a16="http://schemas.microsoft.com/office/drawing/2014/main" id="{00000000-0008-0000-0100-00006E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03" name="Text Box 3">
          <a:extLst>
            <a:ext uri="{FF2B5EF4-FFF2-40B4-BE49-F238E27FC236}">
              <a16:creationId xmlns:a16="http://schemas.microsoft.com/office/drawing/2014/main" id="{00000000-0008-0000-0100-00006F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04" name="Text Box 63">
          <a:extLst>
            <a:ext uri="{FF2B5EF4-FFF2-40B4-BE49-F238E27FC236}">
              <a16:creationId xmlns:a16="http://schemas.microsoft.com/office/drawing/2014/main" id="{00000000-0008-0000-0100-000070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05" name="Text Box 3">
          <a:extLst>
            <a:ext uri="{FF2B5EF4-FFF2-40B4-BE49-F238E27FC236}">
              <a16:creationId xmlns:a16="http://schemas.microsoft.com/office/drawing/2014/main" id="{00000000-0008-0000-0100-000071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06" name="Text Box 32">
          <a:extLst>
            <a:ext uri="{FF2B5EF4-FFF2-40B4-BE49-F238E27FC236}">
              <a16:creationId xmlns:a16="http://schemas.microsoft.com/office/drawing/2014/main" id="{00000000-0008-0000-0100-000072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07" name="Text Box 3">
          <a:extLst>
            <a:ext uri="{FF2B5EF4-FFF2-40B4-BE49-F238E27FC236}">
              <a16:creationId xmlns:a16="http://schemas.microsoft.com/office/drawing/2014/main" id="{00000000-0008-0000-0100-000073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08" name="Text Box 63">
          <a:extLst>
            <a:ext uri="{FF2B5EF4-FFF2-40B4-BE49-F238E27FC236}">
              <a16:creationId xmlns:a16="http://schemas.microsoft.com/office/drawing/2014/main" id="{00000000-0008-0000-0100-000074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09" name="Text Box 3">
          <a:extLst>
            <a:ext uri="{FF2B5EF4-FFF2-40B4-BE49-F238E27FC236}">
              <a16:creationId xmlns:a16="http://schemas.microsoft.com/office/drawing/2014/main" id="{00000000-0008-0000-0100-000075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10" name="Text Box 32">
          <a:extLst>
            <a:ext uri="{FF2B5EF4-FFF2-40B4-BE49-F238E27FC236}">
              <a16:creationId xmlns:a16="http://schemas.microsoft.com/office/drawing/2014/main" id="{00000000-0008-0000-0100-000076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11" name="Text Box 3">
          <a:extLst>
            <a:ext uri="{FF2B5EF4-FFF2-40B4-BE49-F238E27FC236}">
              <a16:creationId xmlns:a16="http://schemas.microsoft.com/office/drawing/2014/main" id="{00000000-0008-0000-0100-000077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12" name="Text Box 63">
          <a:extLst>
            <a:ext uri="{FF2B5EF4-FFF2-40B4-BE49-F238E27FC236}">
              <a16:creationId xmlns:a16="http://schemas.microsoft.com/office/drawing/2014/main" id="{00000000-0008-0000-0100-000078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13" name="Text Box 3">
          <a:extLst>
            <a:ext uri="{FF2B5EF4-FFF2-40B4-BE49-F238E27FC236}">
              <a16:creationId xmlns:a16="http://schemas.microsoft.com/office/drawing/2014/main" id="{00000000-0008-0000-0100-000079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14" name="Text Box 32">
          <a:extLst>
            <a:ext uri="{FF2B5EF4-FFF2-40B4-BE49-F238E27FC236}">
              <a16:creationId xmlns:a16="http://schemas.microsoft.com/office/drawing/2014/main" id="{00000000-0008-0000-0100-00007A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15" name="Text Box 3">
          <a:extLst>
            <a:ext uri="{FF2B5EF4-FFF2-40B4-BE49-F238E27FC236}">
              <a16:creationId xmlns:a16="http://schemas.microsoft.com/office/drawing/2014/main" id="{00000000-0008-0000-0100-00007B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16" name="Text Box 63">
          <a:extLst>
            <a:ext uri="{FF2B5EF4-FFF2-40B4-BE49-F238E27FC236}">
              <a16:creationId xmlns:a16="http://schemas.microsoft.com/office/drawing/2014/main" id="{00000000-0008-0000-0100-00007C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17" name="Text Box 3">
          <a:extLst>
            <a:ext uri="{FF2B5EF4-FFF2-40B4-BE49-F238E27FC236}">
              <a16:creationId xmlns:a16="http://schemas.microsoft.com/office/drawing/2014/main" id="{00000000-0008-0000-0100-00007D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18" name="Text Box 32">
          <a:extLst>
            <a:ext uri="{FF2B5EF4-FFF2-40B4-BE49-F238E27FC236}">
              <a16:creationId xmlns:a16="http://schemas.microsoft.com/office/drawing/2014/main" id="{00000000-0008-0000-0100-00007E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19" name="Text Box 3">
          <a:extLst>
            <a:ext uri="{FF2B5EF4-FFF2-40B4-BE49-F238E27FC236}">
              <a16:creationId xmlns:a16="http://schemas.microsoft.com/office/drawing/2014/main" id="{00000000-0008-0000-0100-00007F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20" name="Text Box 63">
          <a:extLst>
            <a:ext uri="{FF2B5EF4-FFF2-40B4-BE49-F238E27FC236}">
              <a16:creationId xmlns:a16="http://schemas.microsoft.com/office/drawing/2014/main" id="{00000000-0008-0000-0100-000080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21" name="Text Box 3">
          <a:extLst>
            <a:ext uri="{FF2B5EF4-FFF2-40B4-BE49-F238E27FC236}">
              <a16:creationId xmlns:a16="http://schemas.microsoft.com/office/drawing/2014/main" id="{00000000-0008-0000-0100-000081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22" name="Text Box 32">
          <a:extLst>
            <a:ext uri="{FF2B5EF4-FFF2-40B4-BE49-F238E27FC236}">
              <a16:creationId xmlns:a16="http://schemas.microsoft.com/office/drawing/2014/main" id="{00000000-0008-0000-0100-000082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23" name="Text Box 3">
          <a:extLst>
            <a:ext uri="{FF2B5EF4-FFF2-40B4-BE49-F238E27FC236}">
              <a16:creationId xmlns:a16="http://schemas.microsoft.com/office/drawing/2014/main" id="{00000000-0008-0000-0100-000083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24" name="Text Box 63">
          <a:extLst>
            <a:ext uri="{FF2B5EF4-FFF2-40B4-BE49-F238E27FC236}">
              <a16:creationId xmlns:a16="http://schemas.microsoft.com/office/drawing/2014/main" id="{00000000-0008-0000-0100-000084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25" name="Text Box 3">
          <a:extLst>
            <a:ext uri="{FF2B5EF4-FFF2-40B4-BE49-F238E27FC236}">
              <a16:creationId xmlns:a16="http://schemas.microsoft.com/office/drawing/2014/main" id="{00000000-0008-0000-0100-000085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26" name="Text Box 32">
          <a:extLst>
            <a:ext uri="{FF2B5EF4-FFF2-40B4-BE49-F238E27FC236}">
              <a16:creationId xmlns:a16="http://schemas.microsoft.com/office/drawing/2014/main" id="{00000000-0008-0000-0100-000086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27" name="Text Box 3">
          <a:extLst>
            <a:ext uri="{FF2B5EF4-FFF2-40B4-BE49-F238E27FC236}">
              <a16:creationId xmlns:a16="http://schemas.microsoft.com/office/drawing/2014/main" id="{00000000-0008-0000-0100-000087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28" name="Text Box 63">
          <a:extLst>
            <a:ext uri="{FF2B5EF4-FFF2-40B4-BE49-F238E27FC236}">
              <a16:creationId xmlns:a16="http://schemas.microsoft.com/office/drawing/2014/main" id="{00000000-0008-0000-0100-000088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29" name="Text Box 3">
          <a:extLst>
            <a:ext uri="{FF2B5EF4-FFF2-40B4-BE49-F238E27FC236}">
              <a16:creationId xmlns:a16="http://schemas.microsoft.com/office/drawing/2014/main" id="{00000000-0008-0000-0100-000089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30" name="Text Box 32">
          <a:extLst>
            <a:ext uri="{FF2B5EF4-FFF2-40B4-BE49-F238E27FC236}">
              <a16:creationId xmlns:a16="http://schemas.microsoft.com/office/drawing/2014/main" id="{00000000-0008-0000-0100-00008A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31" name="Text Box 3">
          <a:extLst>
            <a:ext uri="{FF2B5EF4-FFF2-40B4-BE49-F238E27FC236}">
              <a16:creationId xmlns:a16="http://schemas.microsoft.com/office/drawing/2014/main" id="{00000000-0008-0000-0100-00008B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32" name="Text Box 63">
          <a:extLst>
            <a:ext uri="{FF2B5EF4-FFF2-40B4-BE49-F238E27FC236}">
              <a16:creationId xmlns:a16="http://schemas.microsoft.com/office/drawing/2014/main" id="{00000000-0008-0000-0100-00008C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33" name="Text Box 32">
          <a:extLst>
            <a:ext uri="{FF2B5EF4-FFF2-40B4-BE49-F238E27FC236}">
              <a16:creationId xmlns:a16="http://schemas.microsoft.com/office/drawing/2014/main" id="{00000000-0008-0000-0100-00008D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34" name="Text Box 3">
          <a:extLst>
            <a:ext uri="{FF2B5EF4-FFF2-40B4-BE49-F238E27FC236}">
              <a16:creationId xmlns:a16="http://schemas.microsoft.com/office/drawing/2014/main" id="{00000000-0008-0000-0100-00008E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35" name="Text Box 63">
          <a:extLst>
            <a:ext uri="{FF2B5EF4-FFF2-40B4-BE49-F238E27FC236}">
              <a16:creationId xmlns:a16="http://schemas.microsoft.com/office/drawing/2014/main" id="{00000000-0008-0000-0100-00008F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36" name="Text Box 3">
          <a:extLst>
            <a:ext uri="{FF2B5EF4-FFF2-40B4-BE49-F238E27FC236}">
              <a16:creationId xmlns:a16="http://schemas.microsoft.com/office/drawing/2014/main" id="{00000000-0008-0000-0100-000090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37" name="Text Box 32">
          <a:extLst>
            <a:ext uri="{FF2B5EF4-FFF2-40B4-BE49-F238E27FC236}">
              <a16:creationId xmlns:a16="http://schemas.microsoft.com/office/drawing/2014/main" id="{00000000-0008-0000-0100-000091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38" name="Text Box 3">
          <a:extLst>
            <a:ext uri="{FF2B5EF4-FFF2-40B4-BE49-F238E27FC236}">
              <a16:creationId xmlns:a16="http://schemas.microsoft.com/office/drawing/2014/main" id="{00000000-0008-0000-0100-000092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39" name="Text Box 63">
          <a:extLst>
            <a:ext uri="{FF2B5EF4-FFF2-40B4-BE49-F238E27FC236}">
              <a16:creationId xmlns:a16="http://schemas.microsoft.com/office/drawing/2014/main" id="{00000000-0008-0000-0100-000093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40" name="Text Box 3">
          <a:extLst>
            <a:ext uri="{FF2B5EF4-FFF2-40B4-BE49-F238E27FC236}">
              <a16:creationId xmlns:a16="http://schemas.microsoft.com/office/drawing/2014/main" id="{00000000-0008-0000-0100-000094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41" name="Text Box 32">
          <a:extLst>
            <a:ext uri="{FF2B5EF4-FFF2-40B4-BE49-F238E27FC236}">
              <a16:creationId xmlns:a16="http://schemas.microsoft.com/office/drawing/2014/main" id="{00000000-0008-0000-0100-000095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42" name="Text Box 3">
          <a:extLst>
            <a:ext uri="{FF2B5EF4-FFF2-40B4-BE49-F238E27FC236}">
              <a16:creationId xmlns:a16="http://schemas.microsoft.com/office/drawing/2014/main" id="{00000000-0008-0000-0100-000096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43" name="Text Box 63">
          <a:extLst>
            <a:ext uri="{FF2B5EF4-FFF2-40B4-BE49-F238E27FC236}">
              <a16:creationId xmlns:a16="http://schemas.microsoft.com/office/drawing/2014/main" id="{00000000-0008-0000-0100-000097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44" name="Text Box 3">
          <a:extLst>
            <a:ext uri="{FF2B5EF4-FFF2-40B4-BE49-F238E27FC236}">
              <a16:creationId xmlns:a16="http://schemas.microsoft.com/office/drawing/2014/main" id="{00000000-0008-0000-0100-000098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45" name="Text Box 32">
          <a:extLst>
            <a:ext uri="{FF2B5EF4-FFF2-40B4-BE49-F238E27FC236}">
              <a16:creationId xmlns:a16="http://schemas.microsoft.com/office/drawing/2014/main" id="{00000000-0008-0000-0100-000099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46" name="Text Box 3">
          <a:extLst>
            <a:ext uri="{FF2B5EF4-FFF2-40B4-BE49-F238E27FC236}">
              <a16:creationId xmlns:a16="http://schemas.microsoft.com/office/drawing/2014/main" id="{00000000-0008-0000-0100-00009A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47" name="Text Box 63">
          <a:extLst>
            <a:ext uri="{FF2B5EF4-FFF2-40B4-BE49-F238E27FC236}">
              <a16:creationId xmlns:a16="http://schemas.microsoft.com/office/drawing/2014/main" id="{00000000-0008-0000-0100-00009B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48" name="Text Box 3">
          <a:extLst>
            <a:ext uri="{FF2B5EF4-FFF2-40B4-BE49-F238E27FC236}">
              <a16:creationId xmlns:a16="http://schemas.microsoft.com/office/drawing/2014/main" id="{00000000-0008-0000-0100-00009C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49" name="Text Box 32">
          <a:extLst>
            <a:ext uri="{FF2B5EF4-FFF2-40B4-BE49-F238E27FC236}">
              <a16:creationId xmlns:a16="http://schemas.microsoft.com/office/drawing/2014/main" id="{00000000-0008-0000-0100-00009D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50" name="Text Box 3">
          <a:extLst>
            <a:ext uri="{FF2B5EF4-FFF2-40B4-BE49-F238E27FC236}">
              <a16:creationId xmlns:a16="http://schemas.microsoft.com/office/drawing/2014/main" id="{00000000-0008-0000-0100-00009E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51" name="Text Box 63">
          <a:extLst>
            <a:ext uri="{FF2B5EF4-FFF2-40B4-BE49-F238E27FC236}">
              <a16:creationId xmlns:a16="http://schemas.microsoft.com/office/drawing/2014/main" id="{00000000-0008-0000-0100-00009F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52" name="Text Box 3">
          <a:extLst>
            <a:ext uri="{FF2B5EF4-FFF2-40B4-BE49-F238E27FC236}">
              <a16:creationId xmlns:a16="http://schemas.microsoft.com/office/drawing/2014/main" id="{00000000-0008-0000-0100-0000A0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53" name="Text Box 32">
          <a:extLst>
            <a:ext uri="{FF2B5EF4-FFF2-40B4-BE49-F238E27FC236}">
              <a16:creationId xmlns:a16="http://schemas.microsoft.com/office/drawing/2014/main" id="{00000000-0008-0000-0100-0000A1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54" name="Text Box 3">
          <a:extLst>
            <a:ext uri="{FF2B5EF4-FFF2-40B4-BE49-F238E27FC236}">
              <a16:creationId xmlns:a16="http://schemas.microsoft.com/office/drawing/2014/main" id="{00000000-0008-0000-0100-0000A2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55" name="Text Box 63">
          <a:extLst>
            <a:ext uri="{FF2B5EF4-FFF2-40B4-BE49-F238E27FC236}">
              <a16:creationId xmlns:a16="http://schemas.microsoft.com/office/drawing/2014/main" id="{00000000-0008-0000-0100-0000A3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56" name="Text Box 3">
          <a:extLst>
            <a:ext uri="{FF2B5EF4-FFF2-40B4-BE49-F238E27FC236}">
              <a16:creationId xmlns:a16="http://schemas.microsoft.com/office/drawing/2014/main" id="{00000000-0008-0000-0100-0000A4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57" name="Text Box 32">
          <a:extLst>
            <a:ext uri="{FF2B5EF4-FFF2-40B4-BE49-F238E27FC236}">
              <a16:creationId xmlns:a16="http://schemas.microsoft.com/office/drawing/2014/main" id="{00000000-0008-0000-0100-0000A5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58" name="Text Box 3">
          <a:extLst>
            <a:ext uri="{FF2B5EF4-FFF2-40B4-BE49-F238E27FC236}">
              <a16:creationId xmlns:a16="http://schemas.microsoft.com/office/drawing/2014/main" id="{00000000-0008-0000-0100-0000A6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59" name="Text Box 63">
          <a:extLst>
            <a:ext uri="{FF2B5EF4-FFF2-40B4-BE49-F238E27FC236}">
              <a16:creationId xmlns:a16="http://schemas.microsoft.com/office/drawing/2014/main" id="{00000000-0008-0000-0100-0000A7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60" name="Text Box 3">
          <a:extLst>
            <a:ext uri="{FF2B5EF4-FFF2-40B4-BE49-F238E27FC236}">
              <a16:creationId xmlns:a16="http://schemas.microsoft.com/office/drawing/2014/main" id="{00000000-0008-0000-0100-0000A8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61" name="Text Box 32">
          <a:extLst>
            <a:ext uri="{FF2B5EF4-FFF2-40B4-BE49-F238E27FC236}">
              <a16:creationId xmlns:a16="http://schemas.microsoft.com/office/drawing/2014/main" id="{00000000-0008-0000-0100-0000A9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62" name="Text Box 3">
          <a:extLst>
            <a:ext uri="{FF2B5EF4-FFF2-40B4-BE49-F238E27FC236}">
              <a16:creationId xmlns:a16="http://schemas.microsoft.com/office/drawing/2014/main" id="{00000000-0008-0000-0100-0000AA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63" name="Text Box 63">
          <a:extLst>
            <a:ext uri="{FF2B5EF4-FFF2-40B4-BE49-F238E27FC236}">
              <a16:creationId xmlns:a16="http://schemas.microsoft.com/office/drawing/2014/main" id="{00000000-0008-0000-0100-0000AB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64" name="Text Box 3">
          <a:extLst>
            <a:ext uri="{FF2B5EF4-FFF2-40B4-BE49-F238E27FC236}">
              <a16:creationId xmlns:a16="http://schemas.microsoft.com/office/drawing/2014/main" id="{00000000-0008-0000-0100-0000AC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65" name="Text Box 32">
          <a:extLst>
            <a:ext uri="{FF2B5EF4-FFF2-40B4-BE49-F238E27FC236}">
              <a16:creationId xmlns:a16="http://schemas.microsoft.com/office/drawing/2014/main" id="{00000000-0008-0000-0100-0000AD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66" name="Text Box 3">
          <a:extLst>
            <a:ext uri="{FF2B5EF4-FFF2-40B4-BE49-F238E27FC236}">
              <a16:creationId xmlns:a16="http://schemas.microsoft.com/office/drawing/2014/main" id="{00000000-0008-0000-0100-0000AE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67" name="Text Box 63">
          <a:extLst>
            <a:ext uri="{FF2B5EF4-FFF2-40B4-BE49-F238E27FC236}">
              <a16:creationId xmlns:a16="http://schemas.microsoft.com/office/drawing/2014/main" id="{00000000-0008-0000-0100-0000AF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68" name="Text Box 3">
          <a:extLst>
            <a:ext uri="{FF2B5EF4-FFF2-40B4-BE49-F238E27FC236}">
              <a16:creationId xmlns:a16="http://schemas.microsoft.com/office/drawing/2014/main" id="{00000000-0008-0000-0100-0000B0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69" name="Text Box 32">
          <a:extLst>
            <a:ext uri="{FF2B5EF4-FFF2-40B4-BE49-F238E27FC236}">
              <a16:creationId xmlns:a16="http://schemas.microsoft.com/office/drawing/2014/main" id="{00000000-0008-0000-0100-0000B1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70" name="Text Box 3">
          <a:extLst>
            <a:ext uri="{FF2B5EF4-FFF2-40B4-BE49-F238E27FC236}">
              <a16:creationId xmlns:a16="http://schemas.microsoft.com/office/drawing/2014/main" id="{00000000-0008-0000-0100-0000B2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71" name="Text Box 63">
          <a:extLst>
            <a:ext uri="{FF2B5EF4-FFF2-40B4-BE49-F238E27FC236}">
              <a16:creationId xmlns:a16="http://schemas.microsoft.com/office/drawing/2014/main" id="{00000000-0008-0000-0100-0000B3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72" name="Text Box 3">
          <a:extLst>
            <a:ext uri="{FF2B5EF4-FFF2-40B4-BE49-F238E27FC236}">
              <a16:creationId xmlns:a16="http://schemas.microsoft.com/office/drawing/2014/main" id="{00000000-0008-0000-0100-0000B4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73" name="Text Box 32">
          <a:extLst>
            <a:ext uri="{FF2B5EF4-FFF2-40B4-BE49-F238E27FC236}">
              <a16:creationId xmlns:a16="http://schemas.microsoft.com/office/drawing/2014/main" id="{00000000-0008-0000-0100-0000B5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74" name="Text Box 3">
          <a:extLst>
            <a:ext uri="{FF2B5EF4-FFF2-40B4-BE49-F238E27FC236}">
              <a16:creationId xmlns:a16="http://schemas.microsoft.com/office/drawing/2014/main" id="{00000000-0008-0000-0100-0000B6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75" name="Text Box 63">
          <a:extLst>
            <a:ext uri="{FF2B5EF4-FFF2-40B4-BE49-F238E27FC236}">
              <a16:creationId xmlns:a16="http://schemas.microsoft.com/office/drawing/2014/main" id="{00000000-0008-0000-0100-0000B7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76" name="Text Box 3">
          <a:extLst>
            <a:ext uri="{FF2B5EF4-FFF2-40B4-BE49-F238E27FC236}">
              <a16:creationId xmlns:a16="http://schemas.microsoft.com/office/drawing/2014/main" id="{00000000-0008-0000-0100-0000B8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77" name="Text Box 32">
          <a:extLst>
            <a:ext uri="{FF2B5EF4-FFF2-40B4-BE49-F238E27FC236}">
              <a16:creationId xmlns:a16="http://schemas.microsoft.com/office/drawing/2014/main" id="{00000000-0008-0000-0100-0000B9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78" name="Text Box 3">
          <a:extLst>
            <a:ext uri="{FF2B5EF4-FFF2-40B4-BE49-F238E27FC236}">
              <a16:creationId xmlns:a16="http://schemas.microsoft.com/office/drawing/2014/main" id="{00000000-0008-0000-0100-0000BA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79" name="Text Box 63">
          <a:extLst>
            <a:ext uri="{FF2B5EF4-FFF2-40B4-BE49-F238E27FC236}">
              <a16:creationId xmlns:a16="http://schemas.microsoft.com/office/drawing/2014/main" id="{00000000-0008-0000-0100-0000BB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80" name="Text Box 3">
          <a:extLst>
            <a:ext uri="{FF2B5EF4-FFF2-40B4-BE49-F238E27FC236}">
              <a16:creationId xmlns:a16="http://schemas.microsoft.com/office/drawing/2014/main" id="{00000000-0008-0000-0100-0000BC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81" name="Text Box 32">
          <a:extLst>
            <a:ext uri="{FF2B5EF4-FFF2-40B4-BE49-F238E27FC236}">
              <a16:creationId xmlns:a16="http://schemas.microsoft.com/office/drawing/2014/main" id="{00000000-0008-0000-0100-0000BD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82" name="Text Box 3">
          <a:extLst>
            <a:ext uri="{FF2B5EF4-FFF2-40B4-BE49-F238E27FC236}">
              <a16:creationId xmlns:a16="http://schemas.microsoft.com/office/drawing/2014/main" id="{00000000-0008-0000-0100-0000BE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83" name="Text Box 63">
          <a:extLst>
            <a:ext uri="{FF2B5EF4-FFF2-40B4-BE49-F238E27FC236}">
              <a16:creationId xmlns:a16="http://schemas.microsoft.com/office/drawing/2014/main" id="{00000000-0008-0000-0100-0000BF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84" name="Text Box 3">
          <a:extLst>
            <a:ext uri="{FF2B5EF4-FFF2-40B4-BE49-F238E27FC236}">
              <a16:creationId xmlns:a16="http://schemas.microsoft.com/office/drawing/2014/main" id="{00000000-0008-0000-0100-0000C0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85" name="Text Box 32">
          <a:extLst>
            <a:ext uri="{FF2B5EF4-FFF2-40B4-BE49-F238E27FC236}">
              <a16:creationId xmlns:a16="http://schemas.microsoft.com/office/drawing/2014/main" id="{00000000-0008-0000-0100-0000C1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86" name="Text Box 3">
          <a:extLst>
            <a:ext uri="{FF2B5EF4-FFF2-40B4-BE49-F238E27FC236}">
              <a16:creationId xmlns:a16="http://schemas.microsoft.com/office/drawing/2014/main" id="{00000000-0008-0000-0100-0000C2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87" name="Text Box 63">
          <a:extLst>
            <a:ext uri="{FF2B5EF4-FFF2-40B4-BE49-F238E27FC236}">
              <a16:creationId xmlns:a16="http://schemas.microsoft.com/office/drawing/2014/main" id="{00000000-0008-0000-0100-0000C3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88" name="Text Box 3">
          <a:extLst>
            <a:ext uri="{FF2B5EF4-FFF2-40B4-BE49-F238E27FC236}">
              <a16:creationId xmlns:a16="http://schemas.microsoft.com/office/drawing/2014/main" id="{00000000-0008-0000-0100-0000C4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89" name="Text Box 32">
          <a:extLst>
            <a:ext uri="{FF2B5EF4-FFF2-40B4-BE49-F238E27FC236}">
              <a16:creationId xmlns:a16="http://schemas.microsoft.com/office/drawing/2014/main" id="{00000000-0008-0000-0100-0000C5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90" name="Text Box 3">
          <a:extLst>
            <a:ext uri="{FF2B5EF4-FFF2-40B4-BE49-F238E27FC236}">
              <a16:creationId xmlns:a16="http://schemas.microsoft.com/office/drawing/2014/main" id="{00000000-0008-0000-0100-0000C6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91" name="Text Box 63">
          <a:extLst>
            <a:ext uri="{FF2B5EF4-FFF2-40B4-BE49-F238E27FC236}">
              <a16:creationId xmlns:a16="http://schemas.microsoft.com/office/drawing/2014/main" id="{00000000-0008-0000-0100-0000C7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92" name="Text Box 3">
          <a:extLst>
            <a:ext uri="{FF2B5EF4-FFF2-40B4-BE49-F238E27FC236}">
              <a16:creationId xmlns:a16="http://schemas.microsoft.com/office/drawing/2014/main" id="{00000000-0008-0000-0100-0000C8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93" name="Text Box 32">
          <a:extLst>
            <a:ext uri="{FF2B5EF4-FFF2-40B4-BE49-F238E27FC236}">
              <a16:creationId xmlns:a16="http://schemas.microsoft.com/office/drawing/2014/main" id="{00000000-0008-0000-0100-0000C9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94" name="Text Box 3">
          <a:extLst>
            <a:ext uri="{FF2B5EF4-FFF2-40B4-BE49-F238E27FC236}">
              <a16:creationId xmlns:a16="http://schemas.microsoft.com/office/drawing/2014/main" id="{00000000-0008-0000-0100-0000CA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95" name="Text Box 63">
          <a:extLst>
            <a:ext uri="{FF2B5EF4-FFF2-40B4-BE49-F238E27FC236}">
              <a16:creationId xmlns:a16="http://schemas.microsoft.com/office/drawing/2014/main" id="{00000000-0008-0000-0100-0000CB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96" name="Text Box 3">
          <a:extLst>
            <a:ext uri="{FF2B5EF4-FFF2-40B4-BE49-F238E27FC236}">
              <a16:creationId xmlns:a16="http://schemas.microsoft.com/office/drawing/2014/main" id="{00000000-0008-0000-0100-0000CC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97" name="Text Box 32">
          <a:extLst>
            <a:ext uri="{FF2B5EF4-FFF2-40B4-BE49-F238E27FC236}">
              <a16:creationId xmlns:a16="http://schemas.microsoft.com/office/drawing/2014/main" id="{00000000-0008-0000-0100-0000CD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1998" name="Text Box 3">
          <a:extLst>
            <a:ext uri="{FF2B5EF4-FFF2-40B4-BE49-F238E27FC236}">
              <a16:creationId xmlns:a16="http://schemas.microsoft.com/office/drawing/2014/main" id="{00000000-0008-0000-0100-0000CE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1999" name="Text Box 63">
          <a:extLst>
            <a:ext uri="{FF2B5EF4-FFF2-40B4-BE49-F238E27FC236}">
              <a16:creationId xmlns:a16="http://schemas.microsoft.com/office/drawing/2014/main" id="{00000000-0008-0000-0100-0000CF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00" name="Text Box 3">
          <a:extLst>
            <a:ext uri="{FF2B5EF4-FFF2-40B4-BE49-F238E27FC236}">
              <a16:creationId xmlns:a16="http://schemas.microsoft.com/office/drawing/2014/main" id="{00000000-0008-0000-0100-0000D0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01" name="Text Box 32">
          <a:extLst>
            <a:ext uri="{FF2B5EF4-FFF2-40B4-BE49-F238E27FC236}">
              <a16:creationId xmlns:a16="http://schemas.microsoft.com/office/drawing/2014/main" id="{00000000-0008-0000-0100-0000D1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02" name="Text Box 3">
          <a:extLst>
            <a:ext uri="{FF2B5EF4-FFF2-40B4-BE49-F238E27FC236}">
              <a16:creationId xmlns:a16="http://schemas.microsoft.com/office/drawing/2014/main" id="{00000000-0008-0000-0100-0000D2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03" name="Text Box 63">
          <a:extLst>
            <a:ext uri="{FF2B5EF4-FFF2-40B4-BE49-F238E27FC236}">
              <a16:creationId xmlns:a16="http://schemas.microsoft.com/office/drawing/2014/main" id="{00000000-0008-0000-0100-0000D3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04" name="Text Box 3">
          <a:extLst>
            <a:ext uri="{FF2B5EF4-FFF2-40B4-BE49-F238E27FC236}">
              <a16:creationId xmlns:a16="http://schemas.microsoft.com/office/drawing/2014/main" id="{00000000-0008-0000-0100-0000D4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05" name="Text Box 32">
          <a:extLst>
            <a:ext uri="{FF2B5EF4-FFF2-40B4-BE49-F238E27FC236}">
              <a16:creationId xmlns:a16="http://schemas.microsoft.com/office/drawing/2014/main" id="{00000000-0008-0000-0100-0000D5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06" name="Text Box 3">
          <a:extLst>
            <a:ext uri="{FF2B5EF4-FFF2-40B4-BE49-F238E27FC236}">
              <a16:creationId xmlns:a16="http://schemas.microsoft.com/office/drawing/2014/main" id="{00000000-0008-0000-0100-0000D6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07" name="Text Box 63">
          <a:extLst>
            <a:ext uri="{FF2B5EF4-FFF2-40B4-BE49-F238E27FC236}">
              <a16:creationId xmlns:a16="http://schemas.microsoft.com/office/drawing/2014/main" id="{00000000-0008-0000-0100-0000D7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08" name="Text Box 3">
          <a:extLst>
            <a:ext uri="{FF2B5EF4-FFF2-40B4-BE49-F238E27FC236}">
              <a16:creationId xmlns:a16="http://schemas.microsoft.com/office/drawing/2014/main" id="{00000000-0008-0000-0100-0000D8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09" name="Text Box 32">
          <a:extLst>
            <a:ext uri="{FF2B5EF4-FFF2-40B4-BE49-F238E27FC236}">
              <a16:creationId xmlns:a16="http://schemas.microsoft.com/office/drawing/2014/main" id="{00000000-0008-0000-0100-0000D9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10" name="Text Box 3">
          <a:extLst>
            <a:ext uri="{FF2B5EF4-FFF2-40B4-BE49-F238E27FC236}">
              <a16:creationId xmlns:a16="http://schemas.microsoft.com/office/drawing/2014/main" id="{00000000-0008-0000-0100-0000DA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11" name="Text Box 63">
          <a:extLst>
            <a:ext uri="{FF2B5EF4-FFF2-40B4-BE49-F238E27FC236}">
              <a16:creationId xmlns:a16="http://schemas.microsoft.com/office/drawing/2014/main" id="{00000000-0008-0000-0100-0000DB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12" name="Text Box 3">
          <a:extLst>
            <a:ext uri="{FF2B5EF4-FFF2-40B4-BE49-F238E27FC236}">
              <a16:creationId xmlns:a16="http://schemas.microsoft.com/office/drawing/2014/main" id="{00000000-0008-0000-0100-0000DC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13" name="Text Box 32">
          <a:extLst>
            <a:ext uri="{FF2B5EF4-FFF2-40B4-BE49-F238E27FC236}">
              <a16:creationId xmlns:a16="http://schemas.microsoft.com/office/drawing/2014/main" id="{00000000-0008-0000-0100-0000DD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14" name="Text Box 3">
          <a:extLst>
            <a:ext uri="{FF2B5EF4-FFF2-40B4-BE49-F238E27FC236}">
              <a16:creationId xmlns:a16="http://schemas.microsoft.com/office/drawing/2014/main" id="{00000000-0008-0000-0100-0000DE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15" name="Text Box 63">
          <a:extLst>
            <a:ext uri="{FF2B5EF4-FFF2-40B4-BE49-F238E27FC236}">
              <a16:creationId xmlns:a16="http://schemas.microsoft.com/office/drawing/2014/main" id="{00000000-0008-0000-0100-0000DF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16" name="Text Box 3">
          <a:extLst>
            <a:ext uri="{FF2B5EF4-FFF2-40B4-BE49-F238E27FC236}">
              <a16:creationId xmlns:a16="http://schemas.microsoft.com/office/drawing/2014/main" id="{00000000-0008-0000-0100-0000E0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17" name="Text Box 32">
          <a:extLst>
            <a:ext uri="{FF2B5EF4-FFF2-40B4-BE49-F238E27FC236}">
              <a16:creationId xmlns:a16="http://schemas.microsoft.com/office/drawing/2014/main" id="{00000000-0008-0000-0100-0000E1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18" name="Text Box 3">
          <a:extLst>
            <a:ext uri="{FF2B5EF4-FFF2-40B4-BE49-F238E27FC236}">
              <a16:creationId xmlns:a16="http://schemas.microsoft.com/office/drawing/2014/main" id="{00000000-0008-0000-0100-0000E2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19" name="Text Box 63">
          <a:extLst>
            <a:ext uri="{FF2B5EF4-FFF2-40B4-BE49-F238E27FC236}">
              <a16:creationId xmlns:a16="http://schemas.microsoft.com/office/drawing/2014/main" id="{00000000-0008-0000-0100-0000E3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20" name="Text Box 3">
          <a:extLst>
            <a:ext uri="{FF2B5EF4-FFF2-40B4-BE49-F238E27FC236}">
              <a16:creationId xmlns:a16="http://schemas.microsoft.com/office/drawing/2014/main" id="{00000000-0008-0000-0100-0000E4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21" name="Text Box 32">
          <a:extLst>
            <a:ext uri="{FF2B5EF4-FFF2-40B4-BE49-F238E27FC236}">
              <a16:creationId xmlns:a16="http://schemas.microsoft.com/office/drawing/2014/main" id="{00000000-0008-0000-0100-0000E5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22" name="Text Box 3">
          <a:extLst>
            <a:ext uri="{FF2B5EF4-FFF2-40B4-BE49-F238E27FC236}">
              <a16:creationId xmlns:a16="http://schemas.microsoft.com/office/drawing/2014/main" id="{00000000-0008-0000-0100-0000E6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23" name="Text Box 63">
          <a:extLst>
            <a:ext uri="{FF2B5EF4-FFF2-40B4-BE49-F238E27FC236}">
              <a16:creationId xmlns:a16="http://schemas.microsoft.com/office/drawing/2014/main" id="{00000000-0008-0000-0100-0000E7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24" name="Text Box 3">
          <a:extLst>
            <a:ext uri="{FF2B5EF4-FFF2-40B4-BE49-F238E27FC236}">
              <a16:creationId xmlns:a16="http://schemas.microsoft.com/office/drawing/2014/main" id="{00000000-0008-0000-0100-0000E8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25" name="Text Box 32">
          <a:extLst>
            <a:ext uri="{FF2B5EF4-FFF2-40B4-BE49-F238E27FC236}">
              <a16:creationId xmlns:a16="http://schemas.microsoft.com/office/drawing/2014/main" id="{00000000-0008-0000-0100-0000E9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26" name="Text Box 3">
          <a:extLst>
            <a:ext uri="{FF2B5EF4-FFF2-40B4-BE49-F238E27FC236}">
              <a16:creationId xmlns:a16="http://schemas.microsoft.com/office/drawing/2014/main" id="{00000000-0008-0000-0100-0000EA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27" name="Text Box 63">
          <a:extLst>
            <a:ext uri="{FF2B5EF4-FFF2-40B4-BE49-F238E27FC236}">
              <a16:creationId xmlns:a16="http://schemas.microsoft.com/office/drawing/2014/main" id="{00000000-0008-0000-0100-0000EB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28" name="Text Box 3">
          <a:extLst>
            <a:ext uri="{FF2B5EF4-FFF2-40B4-BE49-F238E27FC236}">
              <a16:creationId xmlns:a16="http://schemas.microsoft.com/office/drawing/2014/main" id="{00000000-0008-0000-0100-0000EC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29" name="Text Box 32">
          <a:extLst>
            <a:ext uri="{FF2B5EF4-FFF2-40B4-BE49-F238E27FC236}">
              <a16:creationId xmlns:a16="http://schemas.microsoft.com/office/drawing/2014/main" id="{00000000-0008-0000-0100-0000ED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30" name="Text Box 3">
          <a:extLst>
            <a:ext uri="{FF2B5EF4-FFF2-40B4-BE49-F238E27FC236}">
              <a16:creationId xmlns:a16="http://schemas.microsoft.com/office/drawing/2014/main" id="{00000000-0008-0000-0100-0000EE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31" name="Text Box 63">
          <a:extLst>
            <a:ext uri="{FF2B5EF4-FFF2-40B4-BE49-F238E27FC236}">
              <a16:creationId xmlns:a16="http://schemas.microsoft.com/office/drawing/2014/main" id="{00000000-0008-0000-0100-0000EF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32" name="Text Box 3">
          <a:extLst>
            <a:ext uri="{FF2B5EF4-FFF2-40B4-BE49-F238E27FC236}">
              <a16:creationId xmlns:a16="http://schemas.microsoft.com/office/drawing/2014/main" id="{00000000-0008-0000-0100-0000F0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33" name="Text Box 32">
          <a:extLst>
            <a:ext uri="{FF2B5EF4-FFF2-40B4-BE49-F238E27FC236}">
              <a16:creationId xmlns:a16="http://schemas.microsoft.com/office/drawing/2014/main" id="{00000000-0008-0000-0100-0000F1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34" name="Text Box 3">
          <a:extLst>
            <a:ext uri="{FF2B5EF4-FFF2-40B4-BE49-F238E27FC236}">
              <a16:creationId xmlns:a16="http://schemas.microsoft.com/office/drawing/2014/main" id="{00000000-0008-0000-0100-0000F2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35" name="Text Box 63">
          <a:extLst>
            <a:ext uri="{FF2B5EF4-FFF2-40B4-BE49-F238E27FC236}">
              <a16:creationId xmlns:a16="http://schemas.microsoft.com/office/drawing/2014/main" id="{00000000-0008-0000-0100-0000F3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36" name="Text Box 3">
          <a:extLst>
            <a:ext uri="{FF2B5EF4-FFF2-40B4-BE49-F238E27FC236}">
              <a16:creationId xmlns:a16="http://schemas.microsoft.com/office/drawing/2014/main" id="{00000000-0008-0000-0100-0000F4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37" name="Text Box 32">
          <a:extLst>
            <a:ext uri="{FF2B5EF4-FFF2-40B4-BE49-F238E27FC236}">
              <a16:creationId xmlns:a16="http://schemas.microsoft.com/office/drawing/2014/main" id="{00000000-0008-0000-0100-0000F5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38" name="Text Box 3">
          <a:extLst>
            <a:ext uri="{FF2B5EF4-FFF2-40B4-BE49-F238E27FC236}">
              <a16:creationId xmlns:a16="http://schemas.microsoft.com/office/drawing/2014/main" id="{00000000-0008-0000-0100-0000F6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39" name="Text Box 63">
          <a:extLst>
            <a:ext uri="{FF2B5EF4-FFF2-40B4-BE49-F238E27FC236}">
              <a16:creationId xmlns:a16="http://schemas.microsoft.com/office/drawing/2014/main" id="{00000000-0008-0000-0100-0000F7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40" name="Text Box 3">
          <a:extLst>
            <a:ext uri="{FF2B5EF4-FFF2-40B4-BE49-F238E27FC236}">
              <a16:creationId xmlns:a16="http://schemas.microsoft.com/office/drawing/2014/main" id="{00000000-0008-0000-0100-0000F8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41" name="Text Box 32">
          <a:extLst>
            <a:ext uri="{FF2B5EF4-FFF2-40B4-BE49-F238E27FC236}">
              <a16:creationId xmlns:a16="http://schemas.microsoft.com/office/drawing/2014/main" id="{00000000-0008-0000-0100-0000F9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42" name="Text Box 3">
          <a:extLst>
            <a:ext uri="{FF2B5EF4-FFF2-40B4-BE49-F238E27FC236}">
              <a16:creationId xmlns:a16="http://schemas.microsoft.com/office/drawing/2014/main" id="{00000000-0008-0000-0100-0000FA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43" name="Text Box 63">
          <a:extLst>
            <a:ext uri="{FF2B5EF4-FFF2-40B4-BE49-F238E27FC236}">
              <a16:creationId xmlns:a16="http://schemas.microsoft.com/office/drawing/2014/main" id="{00000000-0008-0000-0100-0000FB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44" name="Text Box 3">
          <a:extLst>
            <a:ext uri="{FF2B5EF4-FFF2-40B4-BE49-F238E27FC236}">
              <a16:creationId xmlns:a16="http://schemas.microsoft.com/office/drawing/2014/main" id="{00000000-0008-0000-0100-0000FC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45" name="Text Box 32">
          <a:extLst>
            <a:ext uri="{FF2B5EF4-FFF2-40B4-BE49-F238E27FC236}">
              <a16:creationId xmlns:a16="http://schemas.microsoft.com/office/drawing/2014/main" id="{00000000-0008-0000-0100-0000FD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46" name="Text Box 3">
          <a:extLst>
            <a:ext uri="{FF2B5EF4-FFF2-40B4-BE49-F238E27FC236}">
              <a16:creationId xmlns:a16="http://schemas.microsoft.com/office/drawing/2014/main" id="{00000000-0008-0000-0100-0000FE07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47" name="Text Box 63">
          <a:extLst>
            <a:ext uri="{FF2B5EF4-FFF2-40B4-BE49-F238E27FC236}">
              <a16:creationId xmlns:a16="http://schemas.microsoft.com/office/drawing/2014/main" id="{00000000-0008-0000-0100-0000FF07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48" name="Text Box 3">
          <a:extLst>
            <a:ext uri="{FF2B5EF4-FFF2-40B4-BE49-F238E27FC236}">
              <a16:creationId xmlns:a16="http://schemas.microsoft.com/office/drawing/2014/main" id="{00000000-0008-0000-0100-000000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49" name="Text Box 32">
          <a:extLst>
            <a:ext uri="{FF2B5EF4-FFF2-40B4-BE49-F238E27FC236}">
              <a16:creationId xmlns:a16="http://schemas.microsoft.com/office/drawing/2014/main" id="{00000000-0008-0000-0100-000001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50" name="Text Box 3">
          <a:extLst>
            <a:ext uri="{FF2B5EF4-FFF2-40B4-BE49-F238E27FC236}">
              <a16:creationId xmlns:a16="http://schemas.microsoft.com/office/drawing/2014/main" id="{00000000-0008-0000-0100-000002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51" name="Text Box 63">
          <a:extLst>
            <a:ext uri="{FF2B5EF4-FFF2-40B4-BE49-F238E27FC236}">
              <a16:creationId xmlns:a16="http://schemas.microsoft.com/office/drawing/2014/main" id="{00000000-0008-0000-0100-000003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52" name="Text Box 3">
          <a:extLst>
            <a:ext uri="{FF2B5EF4-FFF2-40B4-BE49-F238E27FC236}">
              <a16:creationId xmlns:a16="http://schemas.microsoft.com/office/drawing/2014/main" id="{00000000-0008-0000-0100-000004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53" name="Text Box 32">
          <a:extLst>
            <a:ext uri="{FF2B5EF4-FFF2-40B4-BE49-F238E27FC236}">
              <a16:creationId xmlns:a16="http://schemas.microsoft.com/office/drawing/2014/main" id="{00000000-0008-0000-0100-000005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54" name="Text Box 3">
          <a:extLst>
            <a:ext uri="{FF2B5EF4-FFF2-40B4-BE49-F238E27FC236}">
              <a16:creationId xmlns:a16="http://schemas.microsoft.com/office/drawing/2014/main" id="{00000000-0008-0000-0100-000006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55" name="Text Box 63">
          <a:extLst>
            <a:ext uri="{FF2B5EF4-FFF2-40B4-BE49-F238E27FC236}">
              <a16:creationId xmlns:a16="http://schemas.microsoft.com/office/drawing/2014/main" id="{00000000-0008-0000-0100-000007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56" name="Text Box 3">
          <a:extLst>
            <a:ext uri="{FF2B5EF4-FFF2-40B4-BE49-F238E27FC236}">
              <a16:creationId xmlns:a16="http://schemas.microsoft.com/office/drawing/2014/main" id="{00000000-0008-0000-0100-000008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57" name="Text Box 32">
          <a:extLst>
            <a:ext uri="{FF2B5EF4-FFF2-40B4-BE49-F238E27FC236}">
              <a16:creationId xmlns:a16="http://schemas.microsoft.com/office/drawing/2014/main" id="{00000000-0008-0000-0100-000009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58" name="Text Box 3">
          <a:extLst>
            <a:ext uri="{FF2B5EF4-FFF2-40B4-BE49-F238E27FC236}">
              <a16:creationId xmlns:a16="http://schemas.microsoft.com/office/drawing/2014/main" id="{00000000-0008-0000-0100-00000A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59" name="Text Box 63">
          <a:extLst>
            <a:ext uri="{FF2B5EF4-FFF2-40B4-BE49-F238E27FC236}">
              <a16:creationId xmlns:a16="http://schemas.microsoft.com/office/drawing/2014/main" id="{00000000-0008-0000-0100-00000B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60" name="Text Box 3">
          <a:extLst>
            <a:ext uri="{FF2B5EF4-FFF2-40B4-BE49-F238E27FC236}">
              <a16:creationId xmlns:a16="http://schemas.microsoft.com/office/drawing/2014/main" id="{00000000-0008-0000-0100-00000C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61" name="Text Box 32">
          <a:extLst>
            <a:ext uri="{FF2B5EF4-FFF2-40B4-BE49-F238E27FC236}">
              <a16:creationId xmlns:a16="http://schemas.microsoft.com/office/drawing/2014/main" id="{00000000-0008-0000-0100-00000D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62" name="Text Box 3">
          <a:extLst>
            <a:ext uri="{FF2B5EF4-FFF2-40B4-BE49-F238E27FC236}">
              <a16:creationId xmlns:a16="http://schemas.microsoft.com/office/drawing/2014/main" id="{00000000-0008-0000-0100-00000E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63" name="Text Box 63">
          <a:extLst>
            <a:ext uri="{FF2B5EF4-FFF2-40B4-BE49-F238E27FC236}">
              <a16:creationId xmlns:a16="http://schemas.microsoft.com/office/drawing/2014/main" id="{00000000-0008-0000-0100-00000F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64" name="Text Box 3">
          <a:extLst>
            <a:ext uri="{FF2B5EF4-FFF2-40B4-BE49-F238E27FC236}">
              <a16:creationId xmlns:a16="http://schemas.microsoft.com/office/drawing/2014/main" id="{00000000-0008-0000-0100-000010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65" name="Text Box 32">
          <a:extLst>
            <a:ext uri="{FF2B5EF4-FFF2-40B4-BE49-F238E27FC236}">
              <a16:creationId xmlns:a16="http://schemas.microsoft.com/office/drawing/2014/main" id="{00000000-0008-0000-0100-000011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66" name="Text Box 3">
          <a:extLst>
            <a:ext uri="{FF2B5EF4-FFF2-40B4-BE49-F238E27FC236}">
              <a16:creationId xmlns:a16="http://schemas.microsoft.com/office/drawing/2014/main" id="{00000000-0008-0000-0100-000012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67" name="Text Box 63">
          <a:extLst>
            <a:ext uri="{FF2B5EF4-FFF2-40B4-BE49-F238E27FC236}">
              <a16:creationId xmlns:a16="http://schemas.microsoft.com/office/drawing/2014/main" id="{00000000-0008-0000-0100-000013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68" name="Text Box 3">
          <a:extLst>
            <a:ext uri="{FF2B5EF4-FFF2-40B4-BE49-F238E27FC236}">
              <a16:creationId xmlns:a16="http://schemas.microsoft.com/office/drawing/2014/main" id="{00000000-0008-0000-0100-000014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69" name="Text Box 32">
          <a:extLst>
            <a:ext uri="{FF2B5EF4-FFF2-40B4-BE49-F238E27FC236}">
              <a16:creationId xmlns:a16="http://schemas.microsoft.com/office/drawing/2014/main" id="{00000000-0008-0000-0100-000015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70" name="Text Box 3">
          <a:extLst>
            <a:ext uri="{FF2B5EF4-FFF2-40B4-BE49-F238E27FC236}">
              <a16:creationId xmlns:a16="http://schemas.microsoft.com/office/drawing/2014/main" id="{00000000-0008-0000-0100-000016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71" name="Text Box 63">
          <a:extLst>
            <a:ext uri="{FF2B5EF4-FFF2-40B4-BE49-F238E27FC236}">
              <a16:creationId xmlns:a16="http://schemas.microsoft.com/office/drawing/2014/main" id="{00000000-0008-0000-0100-000017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72" name="Text Box 3">
          <a:extLst>
            <a:ext uri="{FF2B5EF4-FFF2-40B4-BE49-F238E27FC236}">
              <a16:creationId xmlns:a16="http://schemas.microsoft.com/office/drawing/2014/main" id="{00000000-0008-0000-0100-000018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73" name="Text Box 32">
          <a:extLst>
            <a:ext uri="{FF2B5EF4-FFF2-40B4-BE49-F238E27FC236}">
              <a16:creationId xmlns:a16="http://schemas.microsoft.com/office/drawing/2014/main" id="{00000000-0008-0000-0100-000019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74" name="Text Box 3">
          <a:extLst>
            <a:ext uri="{FF2B5EF4-FFF2-40B4-BE49-F238E27FC236}">
              <a16:creationId xmlns:a16="http://schemas.microsoft.com/office/drawing/2014/main" id="{00000000-0008-0000-0100-00001A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75" name="Text Box 63">
          <a:extLst>
            <a:ext uri="{FF2B5EF4-FFF2-40B4-BE49-F238E27FC236}">
              <a16:creationId xmlns:a16="http://schemas.microsoft.com/office/drawing/2014/main" id="{00000000-0008-0000-0100-00001B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76" name="Text Box 3">
          <a:extLst>
            <a:ext uri="{FF2B5EF4-FFF2-40B4-BE49-F238E27FC236}">
              <a16:creationId xmlns:a16="http://schemas.microsoft.com/office/drawing/2014/main" id="{00000000-0008-0000-0100-00001C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77" name="Text Box 32">
          <a:extLst>
            <a:ext uri="{FF2B5EF4-FFF2-40B4-BE49-F238E27FC236}">
              <a16:creationId xmlns:a16="http://schemas.microsoft.com/office/drawing/2014/main" id="{00000000-0008-0000-0100-00001D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78" name="Text Box 3">
          <a:extLst>
            <a:ext uri="{FF2B5EF4-FFF2-40B4-BE49-F238E27FC236}">
              <a16:creationId xmlns:a16="http://schemas.microsoft.com/office/drawing/2014/main" id="{00000000-0008-0000-0100-00001E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79" name="Text Box 63">
          <a:extLst>
            <a:ext uri="{FF2B5EF4-FFF2-40B4-BE49-F238E27FC236}">
              <a16:creationId xmlns:a16="http://schemas.microsoft.com/office/drawing/2014/main" id="{00000000-0008-0000-0100-00001F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80" name="Text Box 3">
          <a:extLst>
            <a:ext uri="{FF2B5EF4-FFF2-40B4-BE49-F238E27FC236}">
              <a16:creationId xmlns:a16="http://schemas.microsoft.com/office/drawing/2014/main" id="{00000000-0008-0000-0100-000020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81" name="Text Box 32">
          <a:extLst>
            <a:ext uri="{FF2B5EF4-FFF2-40B4-BE49-F238E27FC236}">
              <a16:creationId xmlns:a16="http://schemas.microsoft.com/office/drawing/2014/main" id="{00000000-0008-0000-0100-000021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82" name="Text Box 3">
          <a:extLst>
            <a:ext uri="{FF2B5EF4-FFF2-40B4-BE49-F238E27FC236}">
              <a16:creationId xmlns:a16="http://schemas.microsoft.com/office/drawing/2014/main" id="{00000000-0008-0000-0100-000022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83" name="Text Box 63">
          <a:extLst>
            <a:ext uri="{FF2B5EF4-FFF2-40B4-BE49-F238E27FC236}">
              <a16:creationId xmlns:a16="http://schemas.microsoft.com/office/drawing/2014/main" id="{00000000-0008-0000-0100-000023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84" name="Text Box 3">
          <a:extLst>
            <a:ext uri="{FF2B5EF4-FFF2-40B4-BE49-F238E27FC236}">
              <a16:creationId xmlns:a16="http://schemas.microsoft.com/office/drawing/2014/main" id="{00000000-0008-0000-0100-000024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85" name="Text Box 32">
          <a:extLst>
            <a:ext uri="{FF2B5EF4-FFF2-40B4-BE49-F238E27FC236}">
              <a16:creationId xmlns:a16="http://schemas.microsoft.com/office/drawing/2014/main" id="{00000000-0008-0000-0100-000025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86" name="Text Box 3">
          <a:extLst>
            <a:ext uri="{FF2B5EF4-FFF2-40B4-BE49-F238E27FC236}">
              <a16:creationId xmlns:a16="http://schemas.microsoft.com/office/drawing/2014/main" id="{00000000-0008-0000-0100-000026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87" name="Text Box 63">
          <a:extLst>
            <a:ext uri="{FF2B5EF4-FFF2-40B4-BE49-F238E27FC236}">
              <a16:creationId xmlns:a16="http://schemas.microsoft.com/office/drawing/2014/main" id="{00000000-0008-0000-0100-000027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88" name="Text Box 3">
          <a:extLst>
            <a:ext uri="{FF2B5EF4-FFF2-40B4-BE49-F238E27FC236}">
              <a16:creationId xmlns:a16="http://schemas.microsoft.com/office/drawing/2014/main" id="{00000000-0008-0000-0100-000028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89" name="Text Box 32">
          <a:extLst>
            <a:ext uri="{FF2B5EF4-FFF2-40B4-BE49-F238E27FC236}">
              <a16:creationId xmlns:a16="http://schemas.microsoft.com/office/drawing/2014/main" id="{00000000-0008-0000-0100-000029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90" name="Text Box 3">
          <a:extLst>
            <a:ext uri="{FF2B5EF4-FFF2-40B4-BE49-F238E27FC236}">
              <a16:creationId xmlns:a16="http://schemas.microsoft.com/office/drawing/2014/main" id="{00000000-0008-0000-0100-00002A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91" name="Text Box 63">
          <a:extLst>
            <a:ext uri="{FF2B5EF4-FFF2-40B4-BE49-F238E27FC236}">
              <a16:creationId xmlns:a16="http://schemas.microsoft.com/office/drawing/2014/main" id="{00000000-0008-0000-0100-00002B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92" name="Text Box 3">
          <a:extLst>
            <a:ext uri="{FF2B5EF4-FFF2-40B4-BE49-F238E27FC236}">
              <a16:creationId xmlns:a16="http://schemas.microsoft.com/office/drawing/2014/main" id="{00000000-0008-0000-0100-00002C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93" name="Text Box 32">
          <a:extLst>
            <a:ext uri="{FF2B5EF4-FFF2-40B4-BE49-F238E27FC236}">
              <a16:creationId xmlns:a16="http://schemas.microsoft.com/office/drawing/2014/main" id="{00000000-0008-0000-0100-00002D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94" name="Text Box 3">
          <a:extLst>
            <a:ext uri="{FF2B5EF4-FFF2-40B4-BE49-F238E27FC236}">
              <a16:creationId xmlns:a16="http://schemas.microsoft.com/office/drawing/2014/main" id="{00000000-0008-0000-0100-00002E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95" name="Text Box 63">
          <a:extLst>
            <a:ext uri="{FF2B5EF4-FFF2-40B4-BE49-F238E27FC236}">
              <a16:creationId xmlns:a16="http://schemas.microsoft.com/office/drawing/2014/main" id="{00000000-0008-0000-0100-00002F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96" name="Text Box 3">
          <a:extLst>
            <a:ext uri="{FF2B5EF4-FFF2-40B4-BE49-F238E27FC236}">
              <a16:creationId xmlns:a16="http://schemas.microsoft.com/office/drawing/2014/main" id="{00000000-0008-0000-0100-000030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97" name="Text Box 32">
          <a:extLst>
            <a:ext uri="{FF2B5EF4-FFF2-40B4-BE49-F238E27FC236}">
              <a16:creationId xmlns:a16="http://schemas.microsoft.com/office/drawing/2014/main" id="{00000000-0008-0000-0100-000031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098" name="Text Box 3">
          <a:extLst>
            <a:ext uri="{FF2B5EF4-FFF2-40B4-BE49-F238E27FC236}">
              <a16:creationId xmlns:a16="http://schemas.microsoft.com/office/drawing/2014/main" id="{00000000-0008-0000-0100-000032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099" name="Text Box 63">
          <a:extLst>
            <a:ext uri="{FF2B5EF4-FFF2-40B4-BE49-F238E27FC236}">
              <a16:creationId xmlns:a16="http://schemas.microsoft.com/office/drawing/2014/main" id="{00000000-0008-0000-0100-000033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00" name="Text Box 3">
          <a:extLst>
            <a:ext uri="{FF2B5EF4-FFF2-40B4-BE49-F238E27FC236}">
              <a16:creationId xmlns:a16="http://schemas.microsoft.com/office/drawing/2014/main" id="{00000000-0008-0000-0100-000034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01" name="Text Box 32">
          <a:extLst>
            <a:ext uri="{FF2B5EF4-FFF2-40B4-BE49-F238E27FC236}">
              <a16:creationId xmlns:a16="http://schemas.microsoft.com/office/drawing/2014/main" id="{00000000-0008-0000-0100-000035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02" name="Text Box 3">
          <a:extLst>
            <a:ext uri="{FF2B5EF4-FFF2-40B4-BE49-F238E27FC236}">
              <a16:creationId xmlns:a16="http://schemas.microsoft.com/office/drawing/2014/main" id="{00000000-0008-0000-0100-000036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03" name="Text Box 63">
          <a:extLst>
            <a:ext uri="{FF2B5EF4-FFF2-40B4-BE49-F238E27FC236}">
              <a16:creationId xmlns:a16="http://schemas.microsoft.com/office/drawing/2014/main" id="{00000000-0008-0000-0100-000037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04" name="Text Box 3">
          <a:extLst>
            <a:ext uri="{FF2B5EF4-FFF2-40B4-BE49-F238E27FC236}">
              <a16:creationId xmlns:a16="http://schemas.microsoft.com/office/drawing/2014/main" id="{00000000-0008-0000-0100-000038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05" name="Text Box 32">
          <a:extLst>
            <a:ext uri="{FF2B5EF4-FFF2-40B4-BE49-F238E27FC236}">
              <a16:creationId xmlns:a16="http://schemas.microsoft.com/office/drawing/2014/main" id="{00000000-0008-0000-0100-000039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06" name="Text Box 3">
          <a:extLst>
            <a:ext uri="{FF2B5EF4-FFF2-40B4-BE49-F238E27FC236}">
              <a16:creationId xmlns:a16="http://schemas.microsoft.com/office/drawing/2014/main" id="{00000000-0008-0000-0100-00003A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07" name="Text Box 63">
          <a:extLst>
            <a:ext uri="{FF2B5EF4-FFF2-40B4-BE49-F238E27FC236}">
              <a16:creationId xmlns:a16="http://schemas.microsoft.com/office/drawing/2014/main" id="{00000000-0008-0000-0100-00003B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08" name="Text Box 3">
          <a:extLst>
            <a:ext uri="{FF2B5EF4-FFF2-40B4-BE49-F238E27FC236}">
              <a16:creationId xmlns:a16="http://schemas.microsoft.com/office/drawing/2014/main" id="{00000000-0008-0000-0100-00003C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09" name="Text Box 32">
          <a:extLst>
            <a:ext uri="{FF2B5EF4-FFF2-40B4-BE49-F238E27FC236}">
              <a16:creationId xmlns:a16="http://schemas.microsoft.com/office/drawing/2014/main" id="{00000000-0008-0000-0100-00003D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10" name="Text Box 3">
          <a:extLst>
            <a:ext uri="{FF2B5EF4-FFF2-40B4-BE49-F238E27FC236}">
              <a16:creationId xmlns:a16="http://schemas.microsoft.com/office/drawing/2014/main" id="{00000000-0008-0000-0100-00003E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11" name="Text Box 63">
          <a:extLst>
            <a:ext uri="{FF2B5EF4-FFF2-40B4-BE49-F238E27FC236}">
              <a16:creationId xmlns:a16="http://schemas.microsoft.com/office/drawing/2014/main" id="{00000000-0008-0000-0100-00003F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12" name="Text Box 3">
          <a:extLst>
            <a:ext uri="{FF2B5EF4-FFF2-40B4-BE49-F238E27FC236}">
              <a16:creationId xmlns:a16="http://schemas.microsoft.com/office/drawing/2014/main" id="{00000000-0008-0000-0100-000040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13" name="Text Box 32">
          <a:extLst>
            <a:ext uri="{FF2B5EF4-FFF2-40B4-BE49-F238E27FC236}">
              <a16:creationId xmlns:a16="http://schemas.microsoft.com/office/drawing/2014/main" id="{00000000-0008-0000-0100-000041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14" name="Text Box 3">
          <a:extLst>
            <a:ext uri="{FF2B5EF4-FFF2-40B4-BE49-F238E27FC236}">
              <a16:creationId xmlns:a16="http://schemas.microsoft.com/office/drawing/2014/main" id="{00000000-0008-0000-0100-000042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15" name="Text Box 63">
          <a:extLst>
            <a:ext uri="{FF2B5EF4-FFF2-40B4-BE49-F238E27FC236}">
              <a16:creationId xmlns:a16="http://schemas.microsoft.com/office/drawing/2014/main" id="{00000000-0008-0000-0100-000043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16" name="Text Box 3">
          <a:extLst>
            <a:ext uri="{FF2B5EF4-FFF2-40B4-BE49-F238E27FC236}">
              <a16:creationId xmlns:a16="http://schemas.microsoft.com/office/drawing/2014/main" id="{00000000-0008-0000-0100-000044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17" name="Text Box 32">
          <a:extLst>
            <a:ext uri="{FF2B5EF4-FFF2-40B4-BE49-F238E27FC236}">
              <a16:creationId xmlns:a16="http://schemas.microsoft.com/office/drawing/2014/main" id="{00000000-0008-0000-0100-000045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18" name="Text Box 3">
          <a:extLst>
            <a:ext uri="{FF2B5EF4-FFF2-40B4-BE49-F238E27FC236}">
              <a16:creationId xmlns:a16="http://schemas.microsoft.com/office/drawing/2014/main" id="{00000000-0008-0000-0100-000046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19" name="Text Box 63">
          <a:extLst>
            <a:ext uri="{FF2B5EF4-FFF2-40B4-BE49-F238E27FC236}">
              <a16:creationId xmlns:a16="http://schemas.microsoft.com/office/drawing/2014/main" id="{00000000-0008-0000-0100-000047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20" name="Text Box 3">
          <a:extLst>
            <a:ext uri="{FF2B5EF4-FFF2-40B4-BE49-F238E27FC236}">
              <a16:creationId xmlns:a16="http://schemas.microsoft.com/office/drawing/2014/main" id="{00000000-0008-0000-0100-000048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21" name="Text Box 32">
          <a:extLst>
            <a:ext uri="{FF2B5EF4-FFF2-40B4-BE49-F238E27FC236}">
              <a16:creationId xmlns:a16="http://schemas.microsoft.com/office/drawing/2014/main" id="{00000000-0008-0000-0100-000049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22" name="Text Box 3">
          <a:extLst>
            <a:ext uri="{FF2B5EF4-FFF2-40B4-BE49-F238E27FC236}">
              <a16:creationId xmlns:a16="http://schemas.microsoft.com/office/drawing/2014/main" id="{00000000-0008-0000-0100-00004A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23" name="Text Box 63">
          <a:extLst>
            <a:ext uri="{FF2B5EF4-FFF2-40B4-BE49-F238E27FC236}">
              <a16:creationId xmlns:a16="http://schemas.microsoft.com/office/drawing/2014/main" id="{00000000-0008-0000-0100-00004B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24" name="Text Box 3">
          <a:extLst>
            <a:ext uri="{FF2B5EF4-FFF2-40B4-BE49-F238E27FC236}">
              <a16:creationId xmlns:a16="http://schemas.microsoft.com/office/drawing/2014/main" id="{00000000-0008-0000-0100-00004C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25" name="Text Box 32">
          <a:extLst>
            <a:ext uri="{FF2B5EF4-FFF2-40B4-BE49-F238E27FC236}">
              <a16:creationId xmlns:a16="http://schemas.microsoft.com/office/drawing/2014/main" id="{00000000-0008-0000-0100-00004D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26" name="Text Box 3">
          <a:extLst>
            <a:ext uri="{FF2B5EF4-FFF2-40B4-BE49-F238E27FC236}">
              <a16:creationId xmlns:a16="http://schemas.microsoft.com/office/drawing/2014/main" id="{00000000-0008-0000-0100-00004E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27" name="Text Box 63">
          <a:extLst>
            <a:ext uri="{FF2B5EF4-FFF2-40B4-BE49-F238E27FC236}">
              <a16:creationId xmlns:a16="http://schemas.microsoft.com/office/drawing/2014/main" id="{00000000-0008-0000-0100-00004F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28" name="Text Box 3">
          <a:extLst>
            <a:ext uri="{FF2B5EF4-FFF2-40B4-BE49-F238E27FC236}">
              <a16:creationId xmlns:a16="http://schemas.microsoft.com/office/drawing/2014/main" id="{00000000-0008-0000-0100-000050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29" name="Text Box 32">
          <a:extLst>
            <a:ext uri="{FF2B5EF4-FFF2-40B4-BE49-F238E27FC236}">
              <a16:creationId xmlns:a16="http://schemas.microsoft.com/office/drawing/2014/main" id="{00000000-0008-0000-0100-000051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30" name="Text Box 3">
          <a:extLst>
            <a:ext uri="{FF2B5EF4-FFF2-40B4-BE49-F238E27FC236}">
              <a16:creationId xmlns:a16="http://schemas.microsoft.com/office/drawing/2014/main" id="{00000000-0008-0000-0100-000052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31" name="Text Box 63">
          <a:extLst>
            <a:ext uri="{FF2B5EF4-FFF2-40B4-BE49-F238E27FC236}">
              <a16:creationId xmlns:a16="http://schemas.microsoft.com/office/drawing/2014/main" id="{00000000-0008-0000-0100-000053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32" name="Text Box 3">
          <a:extLst>
            <a:ext uri="{FF2B5EF4-FFF2-40B4-BE49-F238E27FC236}">
              <a16:creationId xmlns:a16="http://schemas.microsoft.com/office/drawing/2014/main" id="{00000000-0008-0000-0100-000054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33" name="Text Box 32">
          <a:extLst>
            <a:ext uri="{FF2B5EF4-FFF2-40B4-BE49-F238E27FC236}">
              <a16:creationId xmlns:a16="http://schemas.microsoft.com/office/drawing/2014/main" id="{00000000-0008-0000-0100-000055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34" name="Text Box 3">
          <a:extLst>
            <a:ext uri="{FF2B5EF4-FFF2-40B4-BE49-F238E27FC236}">
              <a16:creationId xmlns:a16="http://schemas.microsoft.com/office/drawing/2014/main" id="{00000000-0008-0000-0100-000056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35" name="Text Box 63">
          <a:extLst>
            <a:ext uri="{FF2B5EF4-FFF2-40B4-BE49-F238E27FC236}">
              <a16:creationId xmlns:a16="http://schemas.microsoft.com/office/drawing/2014/main" id="{00000000-0008-0000-0100-000057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36" name="Text Box 3">
          <a:extLst>
            <a:ext uri="{FF2B5EF4-FFF2-40B4-BE49-F238E27FC236}">
              <a16:creationId xmlns:a16="http://schemas.microsoft.com/office/drawing/2014/main" id="{00000000-0008-0000-0100-000058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37" name="Text Box 32">
          <a:extLst>
            <a:ext uri="{FF2B5EF4-FFF2-40B4-BE49-F238E27FC236}">
              <a16:creationId xmlns:a16="http://schemas.microsoft.com/office/drawing/2014/main" id="{00000000-0008-0000-0100-000059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38" name="Text Box 3">
          <a:extLst>
            <a:ext uri="{FF2B5EF4-FFF2-40B4-BE49-F238E27FC236}">
              <a16:creationId xmlns:a16="http://schemas.microsoft.com/office/drawing/2014/main" id="{00000000-0008-0000-0100-00005A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39" name="Text Box 63">
          <a:extLst>
            <a:ext uri="{FF2B5EF4-FFF2-40B4-BE49-F238E27FC236}">
              <a16:creationId xmlns:a16="http://schemas.microsoft.com/office/drawing/2014/main" id="{00000000-0008-0000-0100-00005B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40" name="Text Box 3">
          <a:extLst>
            <a:ext uri="{FF2B5EF4-FFF2-40B4-BE49-F238E27FC236}">
              <a16:creationId xmlns:a16="http://schemas.microsoft.com/office/drawing/2014/main" id="{00000000-0008-0000-0100-00005C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41" name="Text Box 32">
          <a:extLst>
            <a:ext uri="{FF2B5EF4-FFF2-40B4-BE49-F238E27FC236}">
              <a16:creationId xmlns:a16="http://schemas.microsoft.com/office/drawing/2014/main" id="{00000000-0008-0000-0100-00005D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42" name="Text Box 3">
          <a:extLst>
            <a:ext uri="{FF2B5EF4-FFF2-40B4-BE49-F238E27FC236}">
              <a16:creationId xmlns:a16="http://schemas.microsoft.com/office/drawing/2014/main" id="{00000000-0008-0000-0100-00005E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43" name="Text Box 63">
          <a:extLst>
            <a:ext uri="{FF2B5EF4-FFF2-40B4-BE49-F238E27FC236}">
              <a16:creationId xmlns:a16="http://schemas.microsoft.com/office/drawing/2014/main" id="{00000000-0008-0000-0100-00005F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44" name="Text Box 3">
          <a:extLst>
            <a:ext uri="{FF2B5EF4-FFF2-40B4-BE49-F238E27FC236}">
              <a16:creationId xmlns:a16="http://schemas.microsoft.com/office/drawing/2014/main" id="{00000000-0008-0000-0100-000060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45" name="Text Box 32">
          <a:extLst>
            <a:ext uri="{FF2B5EF4-FFF2-40B4-BE49-F238E27FC236}">
              <a16:creationId xmlns:a16="http://schemas.microsoft.com/office/drawing/2014/main" id="{00000000-0008-0000-0100-000061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46" name="Text Box 3">
          <a:extLst>
            <a:ext uri="{FF2B5EF4-FFF2-40B4-BE49-F238E27FC236}">
              <a16:creationId xmlns:a16="http://schemas.microsoft.com/office/drawing/2014/main" id="{00000000-0008-0000-0100-000062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47" name="Text Box 63">
          <a:extLst>
            <a:ext uri="{FF2B5EF4-FFF2-40B4-BE49-F238E27FC236}">
              <a16:creationId xmlns:a16="http://schemas.microsoft.com/office/drawing/2014/main" id="{00000000-0008-0000-0100-000063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48" name="Text Box 3">
          <a:extLst>
            <a:ext uri="{FF2B5EF4-FFF2-40B4-BE49-F238E27FC236}">
              <a16:creationId xmlns:a16="http://schemas.microsoft.com/office/drawing/2014/main" id="{00000000-0008-0000-0100-000064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49" name="Text Box 32">
          <a:extLst>
            <a:ext uri="{FF2B5EF4-FFF2-40B4-BE49-F238E27FC236}">
              <a16:creationId xmlns:a16="http://schemas.microsoft.com/office/drawing/2014/main" id="{00000000-0008-0000-0100-000065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50" name="Text Box 3">
          <a:extLst>
            <a:ext uri="{FF2B5EF4-FFF2-40B4-BE49-F238E27FC236}">
              <a16:creationId xmlns:a16="http://schemas.microsoft.com/office/drawing/2014/main" id="{00000000-0008-0000-0100-000066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51" name="Text Box 63">
          <a:extLst>
            <a:ext uri="{FF2B5EF4-FFF2-40B4-BE49-F238E27FC236}">
              <a16:creationId xmlns:a16="http://schemas.microsoft.com/office/drawing/2014/main" id="{00000000-0008-0000-0100-000067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52" name="Text Box 3">
          <a:extLst>
            <a:ext uri="{FF2B5EF4-FFF2-40B4-BE49-F238E27FC236}">
              <a16:creationId xmlns:a16="http://schemas.microsoft.com/office/drawing/2014/main" id="{00000000-0008-0000-0100-000068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53" name="Text Box 32">
          <a:extLst>
            <a:ext uri="{FF2B5EF4-FFF2-40B4-BE49-F238E27FC236}">
              <a16:creationId xmlns:a16="http://schemas.microsoft.com/office/drawing/2014/main" id="{00000000-0008-0000-0100-000069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54" name="Text Box 3">
          <a:extLst>
            <a:ext uri="{FF2B5EF4-FFF2-40B4-BE49-F238E27FC236}">
              <a16:creationId xmlns:a16="http://schemas.microsoft.com/office/drawing/2014/main" id="{00000000-0008-0000-0100-00006A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55" name="Text Box 63">
          <a:extLst>
            <a:ext uri="{FF2B5EF4-FFF2-40B4-BE49-F238E27FC236}">
              <a16:creationId xmlns:a16="http://schemas.microsoft.com/office/drawing/2014/main" id="{00000000-0008-0000-0100-00006B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56" name="Text Box 3">
          <a:extLst>
            <a:ext uri="{FF2B5EF4-FFF2-40B4-BE49-F238E27FC236}">
              <a16:creationId xmlns:a16="http://schemas.microsoft.com/office/drawing/2014/main" id="{00000000-0008-0000-0100-00006C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57" name="Text Box 32">
          <a:extLst>
            <a:ext uri="{FF2B5EF4-FFF2-40B4-BE49-F238E27FC236}">
              <a16:creationId xmlns:a16="http://schemas.microsoft.com/office/drawing/2014/main" id="{00000000-0008-0000-0100-00006D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58" name="Text Box 3">
          <a:extLst>
            <a:ext uri="{FF2B5EF4-FFF2-40B4-BE49-F238E27FC236}">
              <a16:creationId xmlns:a16="http://schemas.microsoft.com/office/drawing/2014/main" id="{00000000-0008-0000-0100-00006E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59" name="Text Box 63">
          <a:extLst>
            <a:ext uri="{FF2B5EF4-FFF2-40B4-BE49-F238E27FC236}">
              <a16:creationId xmlns:a16="http://schemas.microsoft.com/office/drawing/2014/main" id="{00000000-0008-0000-0100-00006F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60" name="Text Box 3">
          <a:extLst>
            <a:ext uri="{FF2B5EF4-FFF2-40B4-BE49-F238E27FC236}">
              <a16:creationId xmlns:a16="http://schemas.microsoft.com/office/drawing/2014/main" id="{00000000-0008-0000-0100-000070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61" name="Text Box 32">
          <a:extLst>
            <a:ext uri="{FF2B5EF4-FFF2-40B4-BE49-F238E27FC236}">
              <a16:creationId xmlns:a16="http://schemas.microsoft.com/office/drawing/2014/main" id="{00000000-0008-0000-0100-000071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62" name="Text Box 3">
          <a:extLst>
            <a:ext uri="{FF2B5EF4-FFF2-40B4-BE49-F238E27FC236}">
              <a16:creationId xmlns:a16="http://schemas.microsoft.com/office/drawing/2014/main" id="{00000000-0008-0000-0100-000072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63" name="Text Box 63">
          <a:extLst>
            <a:ext uri="{FF2B5EF4-FFF2-40B4-BE49-F238E27FC236}">
              <a16:creationId xmlns:a16="http://schemas.microsoft.com/office/drawing/2014/main" id="{00000000-0008-0000-0100-000073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64" name="Text Box 3">
          <a:extLst>
            <a:ext uri="{FF2B5EF4-FFF2-40B4-BE49-F238E27FC236}">
              <a16:creationId xmlns:a16="http://schemas.microsoft.com/office/drawing/2014/main" id="{00000000-0008-0000-0100-000074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65" name="Text Box 32">
          <a:extLst>
            <a:ext uri="{FF2B5EF4-FFF2-40B4-BE49-F238E27FC236}">
              <a16:creationId xmlns:a16="http://schemas.microsoft.com/office/drawing/2014/main" id="{00000000-0008-0000-0100-000075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66" name="Text Box 3">
          <a:extLst>
            <a:ext uri="{FF2B5EF4-FFF2-40B4-BE49-F238E27FC236}">
              <a16:creationId xmlns:a16="http://schemas.microsoft.com/office/drawing/2014/main" id="{00000000-0008-0000-0100-000076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67" name="Text Box 63">
          <a:extLst>
            <a:ext uri="{FF2B5EF4-FFF2-40B4-BE49-F238E27FC236}">
              <a16:creationId xmlns:a16="http://schemas.microsoft.com/office/drawing/2014/main" id="{00000000-0008-0000-0100-000077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68" name="Text Box 3">
          <a:extLst>
            <a:ext uri="{FF2B5EF4-FFF2-40B4-BE49-F238E27FC236}">
              <a16:creationId xmlns:a16="http://schemas.microsoft.com/office/drawing/2014/main" id="{00000000-0008-0000-0100-000078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69" name="Text Box 32">
          <a:extLst>
            <a:ext uri="{FF2B5EF4-FFF2-40B4-BE49-F238E27FC236}">
              <a16:creationId xmlns:a16="http://schemas.microsoft.com/office/drawing/2014/main" id="{00000000-0008-0000-0100-000079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70" name="Text Box 3">
          <a:extLst>
            <a:ext uri="{FF2B5EF4-FFF2-40B4-BE49-F238E27FC236}">
              <a16:creationId xmlns:a16="http://schemas.microsoft.com/office/drawing/2014/main" id="{00000000-0008-0000-0100-00007A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71" name="Text Box 63">
          <a:extLst>
            <a:ext uri="{FF2B5EF4-FFF2-40B4-BE49-F238E27FC236}">
              <a16:creationId xmlns:a16="http://schemas.microsoft.com/office/drawing/2014/main" id="{00000000-0008-0000-0100-00007B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72" name="Text Box 3">
          <a:extLst>
            <a:ext uri="{FF2B5EF4-FFF2-40B4-BE49-F238E27FC236}">
              <a16:creationId xmlns:a16="http://schemas.microsoft.com/office/drawing/2014/main" id="{00000000-0008-0000-0100-00007C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73" name="Text Box 32">
          <a:extLst>
            <a:ext uri="{FF2B5EF4-FFF2-40B4-BE49-F238E27FC236}">
              <a16:creationId xmlns:a16="http://schemas.microsoft.com/office/drawing/2014/main" id="{00000000-0008-0000-0100-00007D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74" name="Text Box 3">
          <a:extLst>
            <a:ext uri="{FF2B5EF4-FFF2-40B4-BE49-F238E27FC236}">
              <a16:creationId xmlns:a16="http://schemas.microsoft.com/office/drawing/2014/main" id="{00000000-0008-0000-0100-00007E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75" name="Text Box 63">
          <a:extLst>
            <a:ext uri="{FF2B5EF4-FFF2-40B4-BE49-F238E27FC236}">
              <a16:creationId xmlns:a16="http://schemas.microsoft.com/office/drawing/2014/main" id="{00000000-0008-0000-0100-00007F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76" name="Text Box 3">
          <a:extLst>
            <a:ext uri="{FF2B5EF4-FFF2-40B4-BE49-F238E27FC236}">
              <a16:creationId xmlns:a16="http://schemas.microsoft.com/office/drawing/2014/main" id="{00000000-0008-0000-0100-000080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77" name="Text Box 32">
          <a:extLst>
            <a:ext uri="{FF2B5EF4-FFF2-40B4-BE49-F238E27FC236}">
              <a16:creationId xmlns:a16="http://schemas.microsoft.com/office/drawing/2014/main" id="{00000000-0008-0000-0100-000081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78" name="Text Box 3">
          <a:extLst>
            <a:ext uri="{FF2B5EF4-FFF2-40B4-BE49-F238E27FC236}">
              <a16:creationId xmlns:a16="http://schemas.microsoft.com/office/drawing/2014/main" id="{00000000-0008-0000-0100-000082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79" name="Text Box 63">
          <a:extLst>
            <a:ext uri="{FF2B5EF4-FFF2-40B4-BE49-F238E27FC236}">
              <a16:creationId xmlns:a16="http://schemas.microsoft.com/office/drawing/2014/main" id="{00000000-0008-0000-0100-000083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80" name="Text Box 3">
          <a:extLst>
            <a:ext uri="{FF2B5EF4-FFF2-40B4-BE49-F238E27FC236}">
              <a16:creationId xmlns:a16="http://schemas.microsoft.com/office/drawing/2014/main" id="{00000000-0008-0000-0100-000084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81" name="Text Box 32">
          <a:extLst>
            <a:ext uri="{FF2B5EF4-FFF2-40B4-BE49-F238E27FC236}">
              <a16:creationId xmlns:a16="http://schemas.microsoft.com/office/drawing/2014/main" id="{00000000-0008-0000-0100-000085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82" name="Text Box 3">
          <a:extLst>
            <a:ext uri="{FF2B5EF4-FFF2-40B4-BE49-F238E27FC236}">
              <a16:creationId xmlns:a16="http://schemas.microsoft.com/office/drawing/2014/main" id="{00000000-0008-0000-0100-000086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83" name="Text Box 63">
          <a:extLst>
            <a:ext uri="{FF2B5EF4-FFF2-40B4-BE49-F238E27FC236}">
              <a16:creationId xmlns:a16="http://schemas.microsoft.com/office/drawing/2014/main" id="{00000000-0008-0000-0100-000087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84" name="Text Box 3">
          <a:extLst>
            <a:ext uri="{FF2B5EF4-FFF2-40B4-BE49-F238E27FC236}">
              <a16:creationId xmlns:a16="http://schemas.microsoft.com/office/drawing/2014/main" id="{00000000-0008-0000-0100-000088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85" name="Text Box 32">
          <a:extLst>
            <a:ext uri="{FF2B5EF4-FFF2-40B4-BE49-F238E27FC236}">
              <a16:creationId xmlns:a16="http://schemas.microsoft.com/office/drawing/2014/main" id="{00000000-0008-0000-0100-000089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86" name="Text Box 3">
          <a:extLst>
            <a:ext uri="{FF2B5EF4-FFF2-40B4-BE49-F238E27FC236}">
              <a16:creationId xmlns:a16="http://schemas.microsoft.com/office/drawing/2014/main" id="{00000000-0008-0000-0100-00008A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87" name="Text Box 63">
          <a:extLst>
            <a:ext uri="{FF2B5EF4-FFF2-40B4-BE49-F238E27FC236}">
              <a16:creationId xmlns:a16="http://schemas.microsoft.com/office/drawing/2014/main" id="{00000000-0008-0000-0100-00008B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88" name="Text Box 32">
          <a:extLst>
            <a:ext uri="{FF2B5EF4-FFF2-40B4-BE49-F238E27FC236}">
              <a16:creationId xmlns:a16="http://schemas.microsoft.com/office/drawing/2014/main" id="{00000000-0008-0000-0100-00008C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89" name="Text Box 3">
          <a:extLst>
            <a:ext uri="{FF2B5EF4-FFF2-40B4-BE49-F238E27FC236}">
              <a16:creationId xmlns:a16="http://schemas.microsoft.com/office/drawing/2014/main" id="{00000000-0008-0000-0100-00008D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90" name="Text Box 63">
          <a:extLst>
            <a:ext uri="{FF2B5EF4-FFF2-40B4-BE49-F238E27FC236}">
              <a16:creationId xmlns:a16="http://schemas.microsoft.com/office/drawing/2014/main" id="{00000000-0008-0000-0100-00008E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91" name="Text Box 3">
          <a:extLst>
            <a:ext uri="{FF2B5EF4-FFF2-40B4-BE49-F238E27FC236}">
              <a16:creationId xmlns:a16="http://schemas.microsoft.com/office/drawing/2014/main" id="{00000000-0008-0000-0100-00008F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92" name="Text Box 32">
          <a:extLst>
            <a:ext uri="{FF2B5EF4-FFF2-40B4-BE49-F238E27FC236}">
              <a16:creationId xmlns:a16="http://schemas.microsoft.com/office/drawing/2014/main" id="{00000000-0008-0000-0100-000090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93" name="Text Box 3">
          <a:extLst>
            <a:ext uri="{FF2B5EF4-FFF2-40B4-BE49-F238E27FC236}">
              <a16:creationId xmlns:a16="http://schemas.microsoft.com/office/drawing/2014/main" id="{00000000-0008-0000-0100-000091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94" name="Text Box 63">
          <a:extLst>
            <a:ext uri="{FF2B5EF4-FFF2-40B4-BE49-F238E27FC236}">
              <a16:creationId xmlns:a16="http://schemas.microsoft.com/office/drawing/2014/main" id="{00000000-0008-0000-0100-000092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95" name="Text Box 3">
          <a:extLst>
            <a:ext uri="{FF2B5EF4-FFF2-40B4-BE49-F238E27FC236}">
              <a16:creationId xmlns:a16="http://schemas.microsoft.com/office/drawing/2014/main" id="{00000000-0008-0000-0100-000093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96" name="Text Box 32">
          <a:extLst>
            <a:ext uri="{FF2B5EF4-FFF2-40B4-BE49-F238E27FC236}">
              <a16:creationId xmlns:a16="http://schemas.microsoft.com/office/drawing/2014/main" id="{00000000-0008-0000-0100-000094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97" name="Text Box 3">
          <a:extLst>
            <a:ext uri="{FF2B5EF4-FFF2-40B4-BE49-F238E27FC236}">
              <a16:creationId xmlns:a16="http://schemas.microsoft.com/office/drawing/2014/main" id="{00000000-0008-0000-0100-000095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198" name="Text Box 63">
          <a:extLst>
            <a:ext uri="{FF2B5EF4-FFF2-40B4-BE49-F238E27FC236}">
              <a16:creationId xmlns:a16="http://schemas.microsoft.com/office/drawing/2014/main" id="{00000000-0008-0000-0100-000096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199" name="Text Box 3">
          <a:extLst>
            <a:ext uri="{FF2B5EF4-FFF2-40B4-BE49-F238E27FC236}">
              <a16:creationId xmlns:a16="http://schemas.microsoft.com/office/drawing/2014/main" id="{00000000-0008-0000-0100-000097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00" name="Text Box 32">
          <a:extLst>
            <a:ext uri="{FF2B5EF4-FFF2-40B4-BE49-F238E27FC236}">
              <a16:creationId xmlns:a16="http://schemas.microsoft.com/office/drawing/2014/main" id="{00000000-0008-0000-0100-000098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01" name="Text Box 3">
          <a:extLst>
            <a:ext uri="{FF2B5EF4-FFF2-40B4-BE49-F238E27FC236}">
              <a16:creationId xmlns:a16="http://schemas.microsoft.com/office/drawing/2014/main" id="{00000000-0008-0000-0100-000099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02" name="Text Box 63">
          <a:extLst>
            <a:ext uri="{FF2B5EF4-FFF2-40B4-BE49-F238E27FC236}">
              <a16:creationId xmlns:a16="http://schemas.microsoft.com/office/drawing/2014/main" id="{00000000-0008-0000-0100-00009A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03" name="Text Box 3">
          <a:extLst>
            <a:ext uri="{FF2B5EF4-FFF2-40B4-BE49-F238E27FC236}">
              <a16:creationId xmlns:a16="http://schemas.microsoft.com/office/drawing/2014/main" id="{00000000-0008-0000-0100-00009B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04" name="Text Box 32">
          <a:extLst>
            <a:ext uri="{FF2B5EF4-FFF2-40B4-BE49-F238E27FC236}">
              <a16:creationId xmlns:a16="http://schemas.microsoft.com/office/drawing/2014/main" id="{00000000-0008-0000-0100-00009C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05" name="Text Box 3">
          <a:extLst>
            <a:ext uri="{FF2B5EF4-FFF2-40B4-BE49-F238E27FC236}">
              <a16:creationId xmlns:a16="http://schemas.microsoft.com/office/drawing/2014/main" id="{00000000-0008-0000-0100-00009D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06" name="Text Box 63">
          <a:extLst>
            <a:ext uri="{FF2B5EF4-FFF2-40B4-BE49-F238E27FC236}">
              <a16:creationId xmlns:a16="http://schemas.microsoft.com/office/drawing/2014/main" id="{00000000-0008-0000-0100-00009E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07" name="Text Box 3">
          <a:extLst>
            <a:ext uri="{FF2B5EF4-FFF2-40B4-BE49-F238E27FC236}">
              <a16:creationId xmlns:a16="http://schemas.microsoft.com/office/drawing/2014/main" id="{00000000-0008-0000-0100-00009F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08" name="Text Box 32">
          <a:extLst>
            <a:ext uri="{FF2B5EF4-FFF2-40B4-BE49-F238E27FC236}">
              <a16:creationId xmlns:a16="http://schemas.microsoft.com/office/drawing/2014/main" id="{00000000-0008-0000-0100-0000A0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09" name="Text Box 3">
          <a:extLst>
            <a:ext uri="{FF2B5EF4-FFF2-40B4-BE49-F238E27FC236}">
              <a16:creationId xmlns:a16="http://schemas.microsoft.com/office/drawing/2014/main" id="{00000000-0008-0000-0100-0000A1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10" name="Text Box 63">
          <a:extLst>
            <a:ext uri="{FF2B5EF4-FFF2-40B4-BE49-F238E27FC236}">
              <a16:creationId xmlns:a16="http://schemas.microsoft.com/office/drawing/2014/main" id="{00000000-0008-0000-0100-0000A2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11" name="Text Box 3">
          <a:extLst>
            <a:ext uri="{FF2B5EF4-FFF2-40B4-BE49-F238E27FC236}">
              <a16:creationId xmlns:a16="http://schemas.microsoft.com/office/drawing/2014/main" id="{00000000-0008-0000-0100-0000A3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12" name="Text Box 32">
          <a:extLst>
            <a:ext uri="{FF2B5EF4-FFF2-40B4-BE49-F238E27FC236}">
              <a16:creationId xmlns:a16="http://schemas.microsoft.com/office/drawing/2014/main" id="{00000000-0008-0000-0100-0000A4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13" name="Text Box 3">
          <a:extLst>
            <a:ext uri="{FF2B5EF4-FFF2-40B4-BE49-F238E27FC236}">
              <a16:creationId xmlns:a16="http://schemas.microsoft.com/office/drawing/2014/main" id="{00000000-0008-0000-0100-0000A5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14" name="Text Box 63">
          <a:extLst>
            <a:ext uri="{FF2B5EF4-FFF2-40B4-BE49-F238E27FC236}">
              <a16:creationId xmlns:a16="http://schemas.microsoft.com/office/drawing/2014/main" id="{00000000-0008-0000-0100-0000A6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15" name="Text Box 3">
          <a:extLst>
            <a:ext uri="{FF2B5EF4-FFF2-40B4-BE49-F238E27FC236}">
              <a16:creationId xmlns:a16="http://schemas.microsoft.com/office/drawing/2014/main" id="{00000000-0008-0000-0100-0000A7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16" name="Text Box 32">
          <a:extLst>
            <a:ext uri="{FF2B5EF4-FFF2-40B4-BE49-F238E27FC236}">
              <a16:creationId xmlns:a16="http://schemas.microsoft.com/office/drawing/2014/main" id="{00000000-0008-0000-0100-0000A8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17" name="Text Box 3">
          <a:extLst>
            <a:ext uri="{FF2B5EF4-FFF2-40B4-BE49-F238E27FC236}">
              <a16:creationId xmlns:a16="http://schemas.microsoft.com/office/drawing/2014/main" id="{00000000-0008-0000-0100-0000A9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18" name="Text Box 63">
          <a:extLst>
            <a:ext uri="{FF2B5EF4-FFF2-40B4-BE49-F238E27FC236}">
              <a16:creationId xmlns:a16="http://schemas.microsoft.com/office/drawing/2014/main" id="{00000000-0008-0000-0100-0000AA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19" name="Text Box 3">
          <a:extLst>
            <a:ext uri="{FF2B5EF4-FFF2-40B4-BE49-F238E27FC236}">
              <a16:creationId xmlns:a16="http://schemas.microsoft.com/office/drawing/2014/main" id="{00000000-0008-0000-0100-0000AB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20" name="Text Box 32">
          <a:extLst>
            <a:ext uri="{FF2B5EF4-FFF2-40B4-BE49-F238E27FC236}">
              <a16:creationId xmlns:a16="http://schemas.microsoft.com/office/drawing/2014/main" id="{00000000-0008-0000-0100-0000AC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21" name="Text Box 3">
          <a:extLst>
            <a:ext uri="{FF2B5EF4-FFF2-40B4-BE49-F238E27FC236}">
              <a16:creationId xmlns:a16="http://schemas.microsoft.com/office/drawing/2014/main" id="{00000000-0008-0000-0100-0000AD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22" name="Text Box 63">
          <a:extLst>
            <a:ext uri="{FF2B5EF4-FFF2-40B4-BE49-F238E27FC236}">
              <a16:creationId xmlns:a16="http://schemas.microsoft.com/office/drawing/2014/main" id="{00000000-0008-0000-0100-0000AE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23" name="Text Box 3">
          <a:extLst>
            <a:ext uri="{FF2B5EF4-FFF2-40B4-BE49-F238E27FC236}">
              <a16:creationId xmlns:a16="http://schemas.microsoft.com/office/drawing/2014/main" id="{00000000-0008-0000-0100-0000AF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24" name="Text Box 32">
          <a:extLst>
            <a:ext uri="{FF2B5EF4-FFF2-40B4-BE49-F238E27FC236}">
              <a16:creationId xmlns:a16="http://schemas.microsoft.com/office/drawing/2014/main" id="{00000000-0008-0000-0100-0000B0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25" name="Text Box 3">
          <a:extLst>
            <a:ext uri="{FF2B5EF4-FFF2-40B4-BE49-F238E27FC236}">
              <a16:creationId xmlns:a16="http://schemas.microsoft.com/office/drawing/2014/main" id="{00000000-0008-0000-0100-0000B1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26" name="Text Box 63">
          <a:extLst>
            <a:ext uri="{FF2B5EF4-FFF2-40B4-BE49-F238E27FC236}">
              <a16:creationId xmlns:a16="http://schemas.microsoft.com/office/drawing/2014/main" id="{00000000-0008-0000-0100-0000B2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27" name="Text Box 3">
          <a:extLst>
            <a:ext uri="{FF2B5EF4-FFF2-40B4-BE49-F238E27FC236}">
              <a16:creationId xmlns:a16="http://schemas.microsoft.com/office/drawing/2014/main" id="{00000000-0008-0000-0100-0000B3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28" name="Text Box 32">
          <a:extLst>
            <a:ext uri="{FF2B5EF4-FFF2-40B4-BE49-F238E27FC236}">
              <a16:creationId xmlns:a16="http://schemas.microsoft.com/office/drawing/2014/main" id="{00000000-0008-0000-0100-0000B4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29" name="Text Box 3">
          <a:extLst>
            <a:ext uri="{FF2B5EF4-FFF2-40B4-BE49-F238E27FC236}">
              <a16:creationId xmlns:a16="http://schemas.microsoft.com/office/drawing/2014/main" id="{00000000-0008-0000-0100-0000B5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30" name="Text Box 63">
          <a:extLst>
            <a:ext uri="{FF2B5EF4-FFF2-40B4-BE49-F238E27FC236}">
              <a16:creationId xmlns:a16="http://schemas.microsoft.com/office/drawing/2014/main" id="{00000000-0008-0000-0100-0000B6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31" name="Text Box 3">
          <a:extLst>
            <a:ext uri="{FF2B5EF4-FFF2-40B4-BE49-F238E27FC236}">
              <a16:creationId xmlns:a16="http://schemas.microsoft.com/office/drawing/2014/main" id="{00000000-0008-0000-0100-0000B7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32" name="Text Box 32">
          <a:extLst>
            <a:ext uri="{FF2B5EF4-FFF2-40B4-BE49-F238E27FC236}">
              <a16:creationId xmlns:a16="http://schemas.microsoft.com/office/drawing/2014/main" id="{00000000-0008-0000-0100-0000B8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33" name="Text Box 3">
          <a:extLst>
            <a:ext uri="{FF2B5EF4-FFF2-40B4-BE49-F238E27FC236}">
              <a16:creationId xmlns:a16="http://schemas.microsoft.com/office/drawing/2014/main" id="{00000000-0008-0000-0100-0000B9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34" name="Text Box 63">
          <a:extLst>
            <a:ext uri="{FF2B5EF4-FFF2-40B4-BE49-F238E27FC236}">
              <a16:creationId xmlns:a16="http://schemas.microsoft.com/office/drawing/2014/main" id="{00000000-0008-0000-0100-0000BA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35" name="Text Box 3">
          <a:extLst>
            <a:ext uri="{FF2B5EF4-FFF2-40B4-BE49-F238E27FC236}">
              <a16:creationId xmlns:a16="http://schemas.microsoft.com/office/drawing/2014/main" id="{00000000-0008-0000-0100-0000BB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36" name="Text Box 32">
          <a:extLst>
            <a:ext uri="{FF2B5EF4-FFF2-40B4-BE49-F238E27FC236}">
              <a16:creationId xmlns:a16="http://schemas.microsoft.com/office/drawing/2014/main" id="{00000000-0008-0000-0100-0000BC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37" name="Text Box 3">
          <a:extLst>
            <a:ext uri="{FF2B5EF4-FFF2-40B4-BE49-F238E27FC236}">
              <a16:creationId xmlns:a16="http://schemas.microsoft.com/office/drawing/2014/main" id="{00000000-0008-0000-0100-0000BD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38" name="Text Box 63">
          <a:extLst>
            <a:ext uri="{FF2B5EF4-FFF2-40B4-BE49-F238E27FC236}">
              <a16:creationId xmlns:a16="http://schemas.microsoft.com/office/drawing/2014/main" id="{00000000-0008-0000-0100-0000BE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39" name="Text Box 3">
          <a:extLst>
            <a:ext uri="{FF2B5EF4-FFF2-40B4-BE49-F238E27FC236}">
              <a16:creationId xmlns:a16="http://schemas.microsoft.com/office/drawing/2014/main" id="{00000000-0008-0000-0100-0000BF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40" name="Text Box 32">
          <a:extLst>
            <a:ext uri="{FF2B5EF4-FFF2-40B4-BE49-F238E27FC236}">
              <a16:creationId xmlns:a16="http://schemas.microsoft.com/office/drawing/2014/main" id="{00000000-0008-0000-0100-0000C0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41" name="Text Box 3">
          <a:extLst>
            <a:ext uri="{FF2B5EF4-FFF2-40B4-BE49-F238E27FC236}">
              <a16:creationId xmlns:a16="http://schemas.microsoft.com/office/drawing/2014/main" id="{00000000-0008-0000-0100-0000C1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42" name="Text Box 63">
          <a:extLst>
            <a:ext uri="{FF2B5EF4-FFF2-40B4-BE49-F238E27FC236}">
              <a16:creationId xmlns:a16="http://schemas.microsoft.com/office/drawing/2014/main" id="{00000000-0008-0000-0100-0000C2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43" name="Text Box 3">
          <a:extLst>
            <a:ext uri="{FF2B5EF4-FFF2-40B4-BE49-F238E27FC236}">
              <a16:creationId xmlns:a16="http://schemas.microsoft.com/office/drawing/2014/main" id="{00000000-0008-0000-0100-0000C3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44" name="Text Box 32">
          <a:extLst>
            <a:ext uri="{FF2B5EF4-FFF2-40B4-BE49-F238E27FC236}">
              <a16:creationId xmlns:a16="http://schemas.microsoft.com/office/drawing/2014/main" id="{00000000-0008-0000-0100-0000C4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45" name="Text Box 3">
          <a:extLst>
            <a:ext uri="{FF2B5EF4-FFF2-40B4-BE49-F238E27FC236}">
              <a16:creationId xmlns:a16="http://schemas.microsoft.com/office/drawing/2014/main" id="{00000000-0008-0000-0100-0000C5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46" name="Text Box 63">
          <a:extLst>
            <a:ext uri="{FF2B5EF4-FFF2-40B4-BE49-F238E27FC236}">
              <a16:creationId xmlns:a16="http://schemas.microsoft.com/office/drawing/2014/main" id="{00000000-0008-0000-0100-0000C6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47" name="Text Box 3">
          <a:extLst>
            <a:ext uri="{FF2B5EF4-FFF2-40B4-BE49-F238E27FC236}">
              <a16:creationId xmlns:a16="http://schemas.microsoft.com/office/drawing/2014/main" id="{00000000-0008-0000-0100-0000C7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48" name="Text Box 32">
          <a:extLst>
            <a:ext uri="{FF2B5EF4-FFF2-40B4-BE49-F238E27FC236}">
              <a16:creationId xmlns:a16="http://schemas.microsoft.com/office/drawing/2014/main" id="{00000000-0008-0000-0100-0000C8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49" name="Text Box 3">
          <a:extLst>
            <a:ext uri="{FF2B5EF4-FFF2-40B4-BE49-F238E27FC236}">
              <a16:creationId xmlns:a16="http://schemas.microsoft.com/office/drawing/2014/main" id="{00000000-0008-0000-0100-0000C9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50" name="Text Box 63">
          <a:extLst>
            <a:ext uri="{FF2B5EF4-FFF2-40B4-BE49-F238E27FC236}">
              <a16:creationId xmlns:a16="http://schemas.microsoft.com/office/drawing/2014/main" id="{00000000-0008-0000-0100-0000CA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51" name="Text Box 3">
          <a:extLst>
            <a:ext uri="{FF2B5EF4-FFF2-40B4-BE49-F238E27FC236}">
              <a16:creationId xmlns:a16="http://schemas.microsoft.com/office/drawing/2014/main" id="{00000000-0008-0000-0100-0000CB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52" name="Text Box 32">
          <a:extLst>
            <a:ext uri="{FF2B5EF4-FFF2-40B4-BE49-F238E27FC236}">
              <a16:creationId xmlns:a16="http://schemas.microsoft.com/office/drawing/2014/main" id="{00000000-0008-0000-0100-0000CC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53" name="Text Box 3">
          <a:extLst>
            <a:ext uri="{FF2B5EF4-FFF2-40B4-BE49-F238E27FC236}">
              <a16:creationId xmlns:a16="http://schemas.microsoft.com/office/drawing/2014/main" id="{00000000-0008-0000-0100-0000CD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54" name="Text Box 63">
          <a:extLst>
            <a:ext uri="{FF2B5EF4-FFF2-40B4-BE49-F238E27FC236}">
              <a16:creationId xmlns:a16="http://schemas.microsoft.com/office/drawing/2014/main" id="{00000000-0008-0000-0100-0000CE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55" name="Text Box 3">
          <a:extLst>
            <a:ext uri="{FF2B5EF4-FFF2-40B4-BE49-F238E27FC236}">
              <a16:creationId xmlns:a16="http://schemas.microsoft.com/office/drawing/2014/main" id="{00000000-0008-0000-0100-0000CF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56" name="Text Box 32">
          <a:extLst>
            <a:ext uri="{FF2B5EF4-FFF2-40B4-BE49-F238E27FC236}">
              <a16:creationId xmlns:a16="http://schemas.microsoft.com/office/drawing/2014/main" id="{00000000-0008-0000-0100-0000D0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57" name="Text Box 3">
          <a:extLst>
            <a:ext uri="{FF2B5EF4-FFF2-40B4-BE49-F238E27FC236}">
              <a16:creationId xmlns:a16="http://schemas.microsoft.com/office/drawing/2014/main" id="{00000000-0008-0000-0100-0000D1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58" name="Text Box 63">
          <a:extLst>
            <a:ext uri="{FF2B5EF4-FFF2-40B4-BE49-F238E27FC236}">
              <a16:creationId xmlns:a16="http://schemas.microsoft.com/office/drawing/2014/main" id="{00000000-0008-0000-0100-0000D2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59" name="Text Box 3">
          <a:extLst>
            <a:ext uri="{FF2B5EF4-FFF2-40B4-BE49-F238E27FC236}">
              <a16:creationId xmlns:a16="http://schemas.microsoft.com/office/drawing/2014/main" id="{00000000-0008-0000-0100-0000D3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60" name="Text Box 32">
          <a:extLst>
            <a:ext uri="{FF2B5EF4-FFF2-40B4-BE49-F238E27FC236}">
              <a16:creationId xmlns:a16="http://schemas.microsoft.com/office/drawing/2014/main" id="{00000000-0008-0000-0100-0000D4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61" name="Text Box 3">
          <a:extLst>
            <a:ext uri="{FF2B5EF4-FFF2-40B4-BE49-F238E27FC236}">
              <a16:creationId xmlns:a16="http://schemas.microsoft.com/office/drawing/2014/main" id="{00000000-0008-0000-0100-0000D5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62" name="Text Box 63">
          <a:extLst>
            <a:ext uri="{FF2B5EF4-FFF2-40B4-BE49-F238E27FC236}">
              <a16:creationId xmlns:a16="http://schemas.microsoft.com/office/drawing/2014/main" id="{00000000-0008-0000-0100-0000D6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63" name="Text Box 3">
          <a:extLst>
            <a:ext uri="{FF2B5EF4-FFF2-40B4-BE49-F238E27FC236}">
              <a16:creationId xmlns:a16="http://schemas.microsoft.com/office/drawing/2014/main" id="{00000000-0008-0000-0100-0000D7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64" name="Text Box 32">
          <a:extLst>
            <a:ext uri="{FF2B5EF4-FFF2-40B4-BE49-F238E27FC236}">
              <a16:creationId xmlns:a16="http://schemas.microsoft.com/office/drawing/2014/main" id="{00000000-0008-0000-0100-0000D8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65" name="Text Box 3">
          <a:extLst>
            <a:ext uri="{FF2B5EF4-FFF2-40B4-BE49-F238E27FC236}">
              <a16:creationId xmlns:a16="http://schemas.microsoft.com/office/drawing/2014/main" id="{00000000-0008-0000-0100-0000D9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66" name="Text Box 63">
          <a:extLst>
            <a:ext uri="{FF2B5EF4-FFF2-40B4-BE49-F238E27FC236}">
              <a16:creationId xmlns:a16="http://schemas.microsoft.com/office/drawing/2014/main" id="{00000000-0008-0000-0100-0000DA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67" name="Text Box 3">
          <a:extLst>
            <a:ext uri="{FF2B5EF4-FFF2-40B4-BE49-F238E27FC236}">
              <a16:creationId xmlns:a16="http://schemas.microsoft.com/office/drawing/2014/main" id="{00000000-0008-0000-0100-0000DB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68" name="Text Box 32">
          <a:extLst>
            <a:ext uri="{FF2B5EF4-FFF2-40B4-BE49-F238E27FC236}">
              <a16:creationId xmlns:a16="http://schemas.microsoft.com/office/drawing/2014/main" id="{00000000-0008-0000-0100-0000DC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69" name="Text Box 3">
          <a:extLst>
            <a:ext uri="{FF2B5EF4-FFF2-40B4-BE49-F238E27FC236}">
              <a16:creationId xmlns:a16="http://schemas.microsoft.com/office/drawing/2014/main" id="{00000000-0008-0000-0100-0000DD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70" name="Text Box 63">
          <a:extLst>
            <a:ext uri="{FF2B5EF4-FFF2-40B4-BE49-F238E27FC236}">
              <a16:creationId xmlns:a16="http://schemas.microsoft.com/office/drawing/2014/main" id="{00000000-0008-0000-0100-0000DE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71" name="Text Box 3">
          <a:extLst>
            <a:ext uri="{FF2B5EF4-FFF2-40B4-BE49-F238E27FC236}">
              <a16:creationId xmlns:a16="http://schemas.microsoft.com/office/drawing/2014/main" id="{00000000-0008-0000-0100-0000DF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72" name="Text Box 32">
          <a:extLst>
            <a:ext uri="{FF2B5EF4-FFF2-40B4-BE49-F238E27FC236}">
              <a16:creationId xmlns:a16="http://schemas.microsoft.com/office/drawing/2014/main" id="{00000000-0008-0000-0100-0000E0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73" name="Text Box 3">
          <a:extLst>
            <a:ext uri="{FF2B5EF4-FFF2-40B4-BE49-F238E27FC236}">
              <a16:creationId xmlns:a16="http://schemas.microsoft.com/office/drawing/2014/main" id="{00000000-0008-0000-0100-0000E1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74" name="Text Box 63">
          <a:extLst>
            <a:ext uri="{FF2B5EF4-FFF2-40B4-BE49-F238E27FC236}">
              <a16:creationId xmlns:a16="http://schemas.microsoft.com/office/drawing/2014/main" id="{00000000-0008-0000-0100-0000E2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75" name="Text Box 3">
          <a:extLst>
            <a:ext uri="{FF2B5EF4-FFF2-40B4-BE49-F238E27FC236}">
              <a16:creationId xmlns:a16="http://schemas.microsoft.com/office/drawing/2014/main" id="{00000000-0008-0000-0100-0000E3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76" name="Text Box 32">
          <a:extLst>
            <a:ext uri="{FF2B5EF4-FFF2-40B4-BE49-F238E27FC236}">
              <a16:creationId xmlns:a16="http://schemas.microsoft.com/office/drawing/2014/main" id="{00000000-0008-0000-0100-0000E4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77" name="Text Box 3">
          <a:extLst>
            <a:ext uri="{FF2B5EF4-FFF2-40B4-BE49-F238E27FC236}">
              <a16:creationId xmlns:a16="http://schemas.microsoft.com/office/drawing/2014/main" id="{00000000-0008-0000-0100-0000E5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78" name="Text Box 63">
          <a:extLst>
            <a:ext uri="{FF2B5EF4-FFF2-40B4-BE49-F238E27FC236}">
              <a16:creationId xmlns:a16="http://schemas.microsoft.com/office/drawing/2014/main" id="{00000000-0008-0000-0100-0000E6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79" name="Text Box 3">
          <a:extLst>
            <a:ext uri="{FF2B5EF4-FFF2-40B4-BE49-F238E27FC236}">
              <a16:creationId xmlns:a16="http://schemas.microsoft.com/office/drawing/2014/main" id="{00000000-0008-0000-0100-0000E7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80" name="Text Box 32">
          <a:extLst>
            <a:ext uri="{FF2B5EF4-FFF2-40B4-BE49-F238E27FC236}">
              <a16:creationId xmlns:a16="http://schemas.microsoft.com/office/drawing/2014/main" id="{00000000-0008-0000-0100-0000E8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81" name="Text Box 3">
          <a:extLst>
            <a:ext uri="{FF2B5EF4-FFF2-40B4-BE49-F238E27FC236}">
              <a16:creationId xmlns:a16="http://schemas.microsoft.com/office/drawing/2014/main" id="{00000000-0008-0000-0100-0000E9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82" name="Text Box 63">
          <a:extLst>
            <a:ext uri="{FF2B5EF4-FFF2-40B4-BE49-F238E27FC236}">
              <a16:creationId xmlns:a16="http://schemas.microsoft.com/office/drawing/2014/main" id="{00000000-0008-0000-0100-0000EA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83" name="Text Box 3">
          <a:extLst>
            <a:ext uri="{FF2B5EF4-FFF2-40B4-BE49-F238E27FC236}">
              <a16:creationId xmlns:a16="http://schemas.microsoft.com/office/drawing/2014/main" id="{00000000-0008-0000-0100-0000EB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84" name="Text Box 32">
          <a:extLst>
            <a:ext uri="{FF2B5EF4-FFF2-40B4-BE49-F238E27FC236}">
              <a16:creationId xmlns:a16="http://schemas.microsoft.com/office/drawing/2014/main" id="{00000000-0008-0000-0100-0000EC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85" name="Text Box 3">
          <a:extLst>
            <a:ext uri="{FF2B5EF4-FFF2-40B4-BE49-F238E27FC236}">
              <a16:creationId xmlns:a16="http://schemas.microsoft.com/office/drawing/2014/main" id="{00000000-0008-0000-0100-0000ED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86" name="Text Box 63">
          <a:extLst>
            <a:ext uri="{FF2B5EF4-FFF2-40B4-BE49-F238E27FC236}">
              <a16:creationId xmlns:a16="http://schemas.microsoft.com/office/drawing/2014/main" id="{00000000-0008-0000-0100-0000EE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87" name="Text Box 3">
          <a:extLst>
            <a:ext uri="{FF2B5EF4-FFF2-40B4-BE49-F238E27FC236}">
              <a16:creationId xmlns:a16="http://schemas.microsoft.com/office/drawing/2014/main" id="{00000000-0008-0000-0100-0000EF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88" name="Text Box 32">
          <a:extLst>
            <a:ext uri="{FF2B5EF4-FFF2-40B4-BE49-F238E27FC236}">
              <a16:creationId xmlns:a16="http://schemas.microsoft.com/office/drawing/2014/main" id="{00000000-0008-0000-0100-0000F0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89" name="Text Box 3">
          <a:extLst>
            <a:ext uri="{FF2B5EF4-FFF2-40B4-BE49-F238E27FC236}">
              <a16:creationId xmlns:a16="http://schemas.microsoft.com/office/drawing/2014/main" id="{00000000-0008-0000-0100-0000F1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90" name="Text Box 63">
          <a:extLst>
            <a:ext uri="{FF2B5EF4-FFF2-40B4-BE49-F238E27FC236}">
              <a16:creationId xmlns:a16="http://schemas.microsoft.com/office/drawing/2014/main" id="{00000000-0008-0000-0100-0000F2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91" name="Text Box 3">
          <a:extLst>
            <a:ext uri="{FF2B5EF4-FFF2-40B4-BE49-F238E27FC236}">
              <a16:creationId xmlns:a16="http://schemas.microsoft.com/office/drawing/2014/main" id="{00000000-0008-0000-0100-0000F3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92" name="Text Box 32">
          <a:extLst>
            <a:ext uri="{FF2B5EF4-FFF2-40B4-BE49-F238E27FC236}">
              <a16:creationId xmlns:a16="http://schemas.microsoft.com/office/drawing/2014/main" id="{00000000-0008-0000-0100-0000F4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93" name="Text Box 3">
          <a:extLst>
            <a:ext uri="{FF2B5EF4-FFF2-40B4-BE49-F238E27FC236}">
              <a16:creationId xmlns:a16="http://schemas.microsoft.com/office/drawing/2014/main" id="{00000000-0008-0000-0100-0000F5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94" name="Text Box 63">
          <a:extLst>
            <a:ext uri="{FF2B5EF4-FFF2-40B4-BE49-F238E27FC236}">
              <a16:creationId xmlns:a16="http://schemas.microsoft.com/office/drawing/2014/main" id="{00000000-0008-0000-0100-0000F6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95" name="Text Box 3">
          <a:extLst>
            <a:ext uri="{FF2B5EF4-FFF2-40B4-BE49-F238E27FC236}">
              <a16:creationId xmlns:a16="http://schemas.microsoft.com/office/drawing/2014/main" id="{00000000-0008-0000-0100-0000F7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96" name="Text Box 32">
          <a:extLst>
            <a:ext uri="{FF2B5EF4-FFF2-40B4-BE49-F238E27FC236}">
              <a16:creationId xmlns:a16="http://schemas.microsoft.com/office/drawing/2014/main" id="{00000000-0008-0000-0100-0000F8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97" name="Text Box 3">
          <a:extLst>
            <a:ext uri="{FF2B5EF4-FFF2-40B4-BE49-F238E27FC236}">
              <a16:creationId xmlns:a16="http://schemas.microsoft.com/office/drawing/2014/main" id="{00000000-0008-0000-0100-0000F9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298" name="Text Box 63">
          <a:extLst>
            <a:ext uri="{FF2B5EF4-FFF2-40B4-BE49-F238E27FC236}">
              <a16:creationId xmlns:a16="http://schemas.microsoft.com/office/drawing/2014/main" id="{00000000-0008-0000-0100-0000FA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299" name="Text Box 3">
          <a:extLst>
            <a:ext uri="{FF2B5EF4-FFF2-40B4-BE49-F238E27FC236}">
              <a16:creationId xmlns:a16="http://schemas.microsoft.com/office/drawing/2014/main" id="{00000000-0008-0000-0100-0000FB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00" name="Text Box 32">
          <a:extLst>
            <a:ext uri="{FF2B5EF4-FFF2-40B4-BE49-F238E27FC236}">
              <a16:creationId xmlns:a16="http://schemas.microsoft.com/office/drawing/2014/main" id="{00000000-0008-0000-0100-0000FC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01" name="Text Box 3">
          <a:extLst>
            <a:ext uri="{FF2B5EF4-FFF2-40B4-BE49-F238E27FC236}">
              <a16:creationId xmlns:a16="http://schemas.microsoft.com/office/drawing/2014/main" id="{00000000-0008-0000-0100-0000FD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02" name="Text Box 63">
          <a:extLst>
            <a:ext uri="{FF2B5EF4-FFF2-40B4-BE49-F238E27FC236}">
              <a16:creationId xmlns:a16="http://schemas.microsoft.com/office/drawing/2014/main" id="{00000000-0008-0000-0100-0000FE08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03" name="Text Box 3">
          <a:extLst>
            <a:ext uri="{FF2B5EF4-FFF2-40B4-BE49-F238E27FC236}">
              <a16:creationId xmlns:a16="http://schemas.microsoft.com/office/drawing/2014/main" id="{00000000-0008-0000-0100-0000FF08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04" name="Text Box 32">
          <a:extLst>
            <a:ext uri="{FF2B5EF4-FFF2-40B4-BE49-F238E27FC236}">
              <a16:creationId xmlns:a16="http://schemas.microsoft.com/office/drawing/2014/main" id="{00000000-0008-0000-0100-000000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05" name="Text Box 3">
          <a:extLst>
            <a:ext uri="{FF2B5EF4-FFF2-40B4-BE49-F238E27FC236}">
              <a16:creationId xmlns:a16="http://schemas.microsoft.com/office/drawing/2014/main" id="{00000000-0008-0000-0100-000001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06" name="Text Box 63">
          <a:extLst>
            <a:ext uri="{FF2B5EF4-FFF2-40B4-BE49-F238E27FC236}">
              <a16:creationId xmlns:a16="http://schemas.microsoft.com/office/drawing/2014/main" id="{00000000-0008-0000-0100-000002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07" name="Text Box 3">
          <a:extLst>
            <a:ext uri="{FF2B5EF4-FFF2-40B4-BE49-F238E27FC236}">
              <a16:creationId xmlns:a16="http://schemas.microsoft.com/office/drawing/2014/main" id="{00000000-0008-0000-0100-000003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08" name="Text Box 32">
          <a:extLst>
            <a:ext uri="{FF2B5EF4-FFF2-40B4-BE49-F238E27FC236}">
              <a16:creationId xmlns:a16="http://schemas.microsoft.com/office/drawing/2014/main" id="{00000000-0008-0000-0100-000004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09" name="Text Box 3">
          <a:extLst>
            <a:ext uri="{FF2B5EF4-FFF2-40B4-BE49-F238E27FC236}">
              <a16:creationId xmlns:a16="http://schemas.microsoft.com/office/drawing/2014/main" id="{00000000-0008-0000-0100-000005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10" name="Text Box 63">
          <a:extLst>
            <a:ext uri="{FF2B5EF4-FFF2-40B4-BE49-F238E27FC236}">
              <a16:creationId xmlns:a16="http://schemas.microsoft.com/office/drawing/2014/main" id="{00000000-0008-0000-0100-000006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11" name="Text Box 3">
          <a:extLst>
            <a:ext uri="{FF2B5EF4-FFF2-40B4-BE49-F238E27FC236}">
              <a16:creationId xmlns:a16="http://schemas.microsoft.com/office/drawing/2014/main" id="{00000000-0008-0000-0100-000007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12" name="Text Box 32">
          <a:extLst>
            <a:ext uri="{FF2B5EF4-FFF2-40B4-BE49-F238E27FC236}">
              <a16:creationId xmlns:a16="http://schemas.microsoft.com/office/drawing/2014/main" id="{00000000-0008-0000-0100-000008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13" name="Text Box 3">
          <a:extLst>
            <a:ext uri="{FF2B5EF4-FFF2-40B4-BE49-F238E27FC236}">
              <a16:creationId xmlns:a16="http://schemas.microsoft.com/office/drawing/2014/main" id="{00000000-0008-0000-0100-000009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14" name="Text Box 63">
          <a:extLst>
            <a:ext uri="{FF2B5EF4-FFF2-40B4-BE49-F238E27FC236}">
              <a16:creationId xmlns:a16="http://schemas.microsoft.com/office/drawing/2014/main" id="{00000000-0008-0000-0100-00000A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15" name="Text Box 3">
          <a:extLst>
            <a:ext uri="{FF2B5EF4-FFF2-40B4-BE49-F238E27FC236}">
              <a16:creationId xmlns:a16="http://schemas.microsoft.com/office/drawing/2014/main" id="{00000000-0008-0000-0100-00000B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16" name="Text Box 32">
          <a:extLst>
            <a:ext uri="{FF2B5EF4-FFF2-40B4-BE49-F238E27FC236}">
              <a16:creationId xmlns:a16="http://schemas.microsoft.com/office/drawing/2014/main" id="{00000000-0008-0000-0100-00000C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17" name="Text Box 3">
          <a:extLst>
            <a:ext uri="{FF2B5EF4-FFF2-40B4-BE49-F238E27FC236}">
              <a16:creationId xmlns:a16="http://schemas.microsoft.com/office/drawing/2014/main" id="{00000000-0008-0000-0100-00000D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18" name="Text Box 63">
          <a:extLst>
            <a:ext uri="{FF2B5EF4-FFF2-40B4-BE49-F238E27FC236}">
              <a16:creationId xmlns:a16="http://schemas.microsoft.com/office/drawing/2014/main" id="{00000000-0008-0000-0100-00000E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19" name="Text Box 3">
          <a:extLst>
            <a:ext uri="{FF2B5EF4-FFF2-40B4-BE49-F238E27FC236}">
              <a16:creationId xmlns:a16="http://schemas.microsoft.com/office/drawing/2014/main" id="{00000000-0008-0000-0100-00000F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20" name="Text Box 32">
          <a:extLst>
            <a:ext uri="{FF2B5EF4-FFF2-40B4-BE49-F238E27FC236}">
              <a16:creationId xmlns:a16="http://schemas.microsoft.com/office/drawing/2014/main" id="{00000000-0008-0000-0100-000010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21" name="Text Box 3">
          <a:extLst>
            <a:ext uri="{FF2B5EF4-FFF2-40B4-BE49-F238E27FC236}">
              <a16:creationId xmlns:a16="http://schemas.microsoft.com/office/drawing/2014/main" id="{00000000-0008-0000-0100-000011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22" name="Text Box 63">
          <a:extLst>
            <a:ext uri="{FF2B5EF4-FFF2-40B4-BE49-F238E27FC236}">
              <a16:creationId xmlns:a16="http://schemas.microsoft.com/office/drawing/2014/main" id="{00000000-0008-0000-0100-000012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23" name="Text Box 3">
          <a:extLst>
            <a:ext uri="{FF2B5EF4-FFF2-40B4-BE49-F238E27FC236}">
              <a16:creationId xmlns:a16="http://schemas.microsoft.com/office/drawing/2014/main" id="{00000000-0008-0000-0100-000013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24" name="Text Box 32">
          <a:extLst>
            <a:ext uri="{FF2B5EF4-FFF2-40B4-BE49-F238E27FC236}">
              <a16:creationId xmlns:a16="http://schemas.microsoft.com/office/drawing/2014/main" id="{00000000-0008-0000-0100-000014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25" name="Text Box 3">
          <a:extLst>
            <a:ext uri="{FF2B5EF4-FFF2-40B4-BE49-F238E27FC236}">
              <a16:creationId xmlns:a16="http://schemas.microsoft.com/office/drawing/2014/main" id="{00000000-0008-0000-0100-000015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26" name="Text Box 63">
          <a:extLst>
            <a:ext uri="{FF2B5EF4-FFF2-40B4-BE49-F238E27FC236}">
              <a16:creationId xmlns:a16="http://schemas.microsoft.com/office/drawing/2014/main" id="{00000000-0008-0000-0100-000016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27" name="Text Box 3">
          <a:extLst>
            <a:ext uri="{FF2B5EF4-FFF2-40B4-BE49-F238E27FC236}">
              <a16:creationId xmlns:a16="http://schemas.microsoft.com/office/drawing/2014/main" id="{00000000-0008-0000-0100-000017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28" name="Text Box 32">
          <a:extLst>
            <a:ext uri="{FF2B5EF4-FFF2-40B4-BE49-F238E27FC236}">
              <a16:creationId xmlns:a16="http://schemas.microsoft.com/office/drawing/2014/main" id="{00000000-0008-0000-0100-000018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29" name="Text Box 3">
          <a:extLst>
            <a:ext uri="{FF2B5EF4-FFF2-40B4-BE49-F238E27FC236}">
              <a16:creationId xmlns:a16="http://schemas.microsoft.com/office/drawing/2014/main" id="{00000000-0008-0000-0100-000019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30" name="Text Box 63">
          <a:extLst>
            <a:ext uri="{FF2B5EF4-FFF2-40B4-BE49-F238E27FC236}">
              <a16:creationId xmlns:a16="http://schemas.microsoft.com/office/drawing/2014/main" id="{00000000-0008-0000-0100-00001A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31" name="Text Box 3">
          <a:extLst>
            <a:ext uri="{FF2B5EF4-FFF2-40B4-BE49-F238E27FC236}">
              <a16:creationId xmlns:a16="http://schemas.microsoft.com/office/drawing/2014/main" id="{00000000-0008-0000-0100-00001B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32" name="Text Box 32">
          <a:extLst>
            <a:ext uri="{FF2B5EF4-FFF2-40B4-BE49-F238E27FC236}">
              <a16:creationId xmlns:a16="http://schemas.microsoft.com/office/drawing/2014/main" id="{00000000-0008-0000-0100-00001C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33" name="Text Box 3">
          <a:extLst>
            <a:ext uri="{FF2B5EF4-FFF2-40B4-BE49-F238E27FC236}">
              <a16:creationId xmlns:a16="http://schemas.microsoft.com/office/drawing/2014/main" id="{00000000-0008-0000-0100-00001D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34" name="Text Box 63">
          <a:extLst>
            <a:ext uri="{FF2B5EF4-FFF2-40B4-BE49-F238E27FC236}">
              <a16:creationId xmlns:a16="http://schemas.microsoft.com/office/drawing/2014/main" id="{00000000-0008-0000-0100-00001E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35" name="Text Box 3">
          <a:extLst>
            <a:ext uri="{FF2B5EF4-FFF2-40B4-BE49-F238E27FC236}">
              <a16:creationId xmlns:a16="http://schemas.microsoft.com/office/drawing/2014/main" id="{00000000-0008-0000-0100-00001F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36" name="Text Box 32">
          <a:extLst>
            <a:ext uri="{FF2B5EF4-FFF2-40B4-BE49-F238E27FC236}">
              <a16:creationId xmlns:a16="http://schemas.microsoft.com/office/drawing/2014/main" id="{00000000-0008-0000-0100-000020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37" name="Text Box 3">
          <a:extLst>
            <a:ext uri="{FF2B5EF4-FFF2-40B4-BE49-F238E27FC236}">
              <a16:creationId xmlns:a16="http://schemas.microsoft.com/office/drawing/2014/main" id="{00000000-0008-0000-0100-000021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38" name="Text Box 63">
          <a:extLst>
            <a:ext uri="{FF2B5EF4-FFF2-40B4-BE49-F238E27FC236}">
              <a16:creationId xmlns:a16="http://schemas.microsoft.com/office/drawing/2014/main" id="{00000000-0008-0000-0100-000022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39" name="Text Box 3">
          <a:extLst>
            <a:ext uri="{FF2B5EF4-FFF2-40B4-BE49-F238E27FC236}">
              <a16:creationId xmlns:a16="http://schemas.microsoft.com/office/drawing/2014/main" id="{00000000-0008-0000-0100-000023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40" name="Text Box 32">
          <a:extLst>
            <a:ext uri="{FF2B5EF4-FFF2-40B4-BE49-F238E27FC236}">
              <a16:creationId xmlns:a16="http://schemas.microsoft.com/office/drawing/2014/main" id="{00000000-0008-0000-0100-000024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41" name="Text Box 3">
          <a:extLst>
            <a:ext uri="{FF2B5EF4-FFF2-40B4-BE49-F238E27FC236}">
              <a16:creationId xmlns:a16="http://schemas.microsoft.com/office/drawing/2014/main" id="{00000000-0008-0000-0100-000025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42" name="Text Box 63">
          <a:extLst>
            <a:ext uri="{FF2B5EF4-FFF2-40B4-BE49-F238E27FC236}">
              <a16:creationId xmlns:a16="http://schemas.microsoft.com/office/drawing/2014/main" id="{00000000-0008-0000-0100-000026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43" name="Text Box 3">
          <a:extLst>
            <a:ext uri="{FF2B5EF4-FFF2-40B4-BE49-F238E27FC236}">
              <a16:creationId xmlns:a16="http://schemas.microsoft.com/office/drawing/2014/main" id="{00000000-0008-0000-0100-000027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44" name="Text Box 32">
          <a:extLst>
            <a:ext uri="{FF2B5EF4-FFF2-40B4-BE49-F238E27FC236}">
              <a16:creationId xmlns:a16="http://schemas.microsoft.com/office/drawing/2014/main" id="{00000000-0008-0000-0100-000028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45" name="Text Box 3">
          <a:extLst>
            <a:ext uri="{FF2B5EF4-FFF2-40B4-BE49-F238E27FC236}">
              <a16:creationId xmlns:a16="http://schemas.microsoft.com/office/drawing/2014/main" id="{00000000-0008-0000-0100-000029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46" name="Text Box 63">
          <a:extLst>
            <a:ext uri="{FF2B5EF4-FFF2-40B4-BE49-F238E27FC236}">
              <a16:creationId xmlns:a16="http://schemas.microsoft.com/office/drawing/2014/main" id="{00000000-0008-0000-0100-00002A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47" name="Text Box 3">
          <a:extLst>
            <a:ext uri="{FF2B5EF4-FFF2-40B4-BE49-F238E27FC236}">
              <a16:creationId xmlns:a16="http://schemas.microsoft.com/office/drawing/2014/main" id="{00000000-0008-0000-0100-00002B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48" name="Text Box 32">
          <a:extLst>
            <a:ext uri="{FF2B5EF4-FFF2-40B4-BE49-F238E27FC236}">
              <a16:creationId xmlns:a16="http://schemas.microsoft.com/office/drawing/2014/main" id="{00000000-0008-0000-0100-00002C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49" name="Text Box 3">
          <a:extLst>
            <a:ext uri="{FF2B5EF4-FFF2-40B4-BE49-F238E27FC236}">
              <a16:creationId xmlns:a16="http://schemas.microsoft.com/office/drawing/2014/main" id="{00000000-0008-0000-0100-00002D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50" name="Text Box 63">
          <a:extLst>
            <a:ext uri="{FF2B5EF4-FFF2-40B4-BE49-F238E27FC236}">
              <a16:creationId xmlns:a16="http://schemas.microsoft.com/office/drawing/2014/main" id="{00000000-0008-0000-0100-00002E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51" name="Text Box 3">
          <a:extLst>
            <a:ext uri="{FF2B5EF4-FFF2-40B4-BE49-F238E27FC236}">
              <a16:creationId xmlns:a16="http://schemas.microsoft.com/office/drawing/2014/main" id="{00000000-0008-0000-0100-00002F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52" name="Text Box 32">
          <a:extLst>
            <a:ext uri="{FF2B5EF4-FFF2-40B4-BE49-F238E27FC236}">
              <a16:creationId xmlns:a16="http://schemas.microsoft.com/office/drawing/2014/main" id="{00000000-0008-0000-0100-000030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53" name="Text Box 3">
          <a:extLst>
            <a:ext uri="{FF2B5EF4-FFF2-40B4-BE49-F238E27FC236}">
              <a16:creationId xmlns:a16="http://schemas.microsoft.com/office/drawing/2014/main" id="{00000000-0008-0000-0100-000031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54" name="Text Box 63">
          <a:extLst>
            <a:ext uri="{FF2B5EF4-FFF2-40B4-BE49-F238E27FC236}">
              <a16:creationId xmlns:a16="http://schemas.microsoft.com/office/drawing/2014/main" id="{00000000-0008-0000-0100-000032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55" name="Text Box 3">
          <a:extLst>
            <a:ext uri="{FF2B5EF4-FFF2-40B4-BE49-F238E27FC236}">
              <a16:creationId xmlns:a16="http://schemas.microsoft.com/office/drawing/2014/main" id="{00000000-0008-0000-0100-000033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56" name="Text Box 32">
          <a:extLst>
            <a:ext uri="{FF2B5EF4-FFF2-40B4-BE49-F238E27FC236}">
              <a16:creationId xmlns:a16="http://schemas.microsoft.com/office/drawing/2014/main" id="{00000000-0008-0000-0100-000034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57" name="Text Box 3">
          <a:extLst>
            <a:ext uri="{FF2B5EF4-FFF2-40B4-BE49-F238E27FC236}">
              <a16:creationId xmlns:a16="http://schemas.microsoft.com/office/drawing/2014/main" id="{00000000-0008-0000-0100-000035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58" name="Text Box 63">
          <a:extLst>
            <a:ext uri="{FF2B5EF4-FFF2-40B4-BE49-F238E27FC236}">
              <a16:creationId xmlns:a16="http://schemas.microsoft.com/office/drawing/2014/main" id="{00000000-0008-0000-0100-000036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59" name="Text Box 3">
          <a:extLst>
            <a:ext uri="{FF2B5EF4-FFF2-40B4-BE49-F238E27FC236}">
              <a16:creationId xmlns:a16="http://schemas.microsoft.com/office/drawing/2014/main" id="{00000000-0008-0000-0100-000037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60" name="Text Box 32">
          <a:extLst>
            <a:ext uri="{FF2B5EF4-FFF2-40B4-BE49-F238E27FC236}">
              <a16:creationId xmlns:a16="http://schemas.microsoft.com/office/drawing/2014/main" id="{00000000-0008-0000-0100-000038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61" name="Text Box 3">
          <a:extLst>
            <a:ext uri="{FF2B5EF4-FFF2-40B4-BE49-F238E27FC236}">
              <a16:creationId xmlns:a16="http://schemas.microsoft.com/office/drawing/2014/main" id="{00000000-0008-0000-0100-000039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62" name="Text Box 63">
          <a:extLst>
            <a:ext uri="{FF2B5EF4-FFF2-40B4-BE49-F238E27FC236}">
              <a16:creationId xmlns:a16="http://schemas.microsoft.com/office/drawing/2014/main" id="{00000000-0008-0000-0100-00003A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63" name="Text Box 3">
          <a:extLst>
            <a:ext uri="{FF2B5EF4-FFF2-40B4-BE49-F238E27FC236}">
              <a16:creationId xmlns:a16="http://schemas.microsoft.com/office/drawing/2014/main" id="{00000000-0008-0000-0100-00003B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64" name="Text Box 32">
          <a:extLst>
            <a:ext uri="{FF2B5EF4-FFF2-40B4-BE49-F238E27FC236}">
              <a16:creationId xmlns:a16="http://schemas.microsoft.com/office/drawing/2014/main" id="{00000000-0008-0000-0100-00003C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65" name="Text Box 3">
          <a:extLst>
            <a:ext uri="{FF2B5EF4-FFF2-40B4-BE49-F238E27FC236}">
              <a16:creationId xmlns:a16="http://schemas.microsoft.com/office/drawing/2014/main" id="{00000000-0008-0000-0100-00003D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66" name="Text Box 63">
          <a:extLst>
            <a:ext uri="{FF2B5EF4-FFF2-40B4-BE49-F238E27FC236}">
              <a16:creationId xmlns:a16="http://schemas.microsoft.com/office/drawing/2014/main" id="{00000000-0008-0000-0100-00003E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67" name="Text Box 3">
          <a:extLst>
            <a:ext uri="{FF2B5EF4-FFF2-40B4-BE49-F238E27FC236}">
              <a16:creationId xmlns:a16="http://schemas.microsoft.com/office/drawing/2014/main" id="{00000000-0008-0000-0100-00003F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68" name="Text Box 32">
          <a:extLst>
            <a:ext uri="{FF2B5EF4-FFF2-40B4-BE49-F238E27FC236}">
              <a16:creationId xmlns:a16="http://schemas.microsoft.com/office/drawing/2014/main" id="{00000000-0008-0000-0100-000040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69" name="Text Box 3">
          <a:extLst>
            <a:ext uri="{FF2B5EF4-FFF2-40B4-BE49-F238E27FC236}">
              <a16:creationId xmlns:a16="http://schemas.microsoft.com/office/drawing/2014/main" id="{00000000-0008-0000-0100-000041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70" name="Text Box 63">
          <a:extLst>
            <a:ext uri="{FF2B5EF4-FFF2-40B4-BE49-F238E27FC236}">
              <a16:creationId xmlns:a16="http://schemas.microsoft.com/office/drawing/2014/main" id="{00000000-0008-0000-0100-000042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71" name="Text Box 3">
          <a:extLst>
            <a:ext uri="{FF2B5EF4-FFF2-40B4-BE49-F238E27FC236}">
              <a16:creationId xmlns:a16="http://schemas.microsoft.com/office/drawing/2014/main" id="{00000000-0008-0000-0100-000043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72" name="Text Box 32">
          <a:extLst>
            <a:ext uri="{FF2B5EF4-FFF2-40B4-BE49-F238E27FC236}">
              <a16:creationId xmlns:a16="http://schemas.microsoft.com/office/drawing/2014/main" id="{00000000-0008-0000-0100-000044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73" name="Text Box 3">
          <a:extLst>
            <a:ext uri="{FF2B5EF4-FFF2-40B4-BE49-F238E27FC236}">
              <a16:creationId xmlns:a16="http://schemas.microsoft.com/office/drawing/2014/main" id="{00000000-0008-0000-0100-000045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74" name="Text Box 63">
          <a:extLst>
            <a:ext uri="{FF2B5EF4-FFF2-40B4-BE49-F238E27FC236}">
              <a16:creationId xmlns:a16="http://schemas.microsoft.com/office/drawing/2014/main" id="{00000000-0008-0000-0100-000046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75" name="Text Box 3">
          <a:extLst>
            <a:ext uri="{FF2B5EF4-FFF2-40B4-BE49-F238E27FC236}">
              <a16:creationId xmlns:a16="http://schemas.microsoft.com/office/drawing/2014/main" id="{00000000-0008-0000-0100-000047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76" name="Text Box 32">
          <a:extLst>
            <a:ext uri="{FF2B5EF4-FFF2-40B4-BE49-F238E27FC236}">
              <a16:creationId xmlns:a16="http://schemas.microsoft.com/office/drawing/2014/main" id="{00000000-0008-0000-0100-000048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77" name="Text Box 3">
          <a:extLst>
            <a:ext uri="{FF2B5EF4-FFF2-40B4-BE49-F238E27FC236}">
              <a16:creationId xmlns:a16="http://schemas.microsoft.com/office/drawing/2014/main" id="{00000000-0008-0000-0100-000049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78" name="Text Box 63">
          <a:extLst>
            <a:ext uri="{FF2B5EF4-FFF2-40B4-BE49-F238E27FC236}">
              <a16:creationId xmlns:a16="http://schemas.microsoft.com/office/drawing/2014/main" id="{00000000-0008-0000-0100-00004A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79" name="Text Box 3">
          <a:extLst>
            <a:ext uri="{FF2B5EF4-FFF2-40B4-BE49-F238E27FC236}">
              <a16:creationId xmlns:a16="http://schemas.microsoft.com/office/drawing/2014/main" id="{00000000-0008-0000-0100-00004B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80" name="Text Box 32">
          <a:extLst>
            <a:ext uri="{FF2B5EF4-FFF2-40B4-BE49-F238E27FC236}">
              <a16:creationId xmlns:a16="http://schemas.microsoft.com/office/drawing/2014/main" id="{00000000-0008-0000-0100-00004C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81" name="Text Box 3">
          <a:extLst>
            <a:ext uri="{FF2B5EF4-FFF2-40B4-BE49-F238E27FC236}">
              <a16:creationId xmlns:a16="http://schemas.microsoft.com/office/drawing/2014/main" id="{00000000-0008-0000-0100-00004D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82" name="Text Box 63">
          <a:extLst>
            <a:ext uri="{FF2B5EF4-FFF2-40B4-BE49-F238E27FC236}">
              <a16:creationId xmlns:a16="http://schemas.microsoft.com/office/drawing/2014/main" id="{00000000-0008-0000-0100-00004E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83" name="Text Box 3">
          <a:extLst>
            <a:ext uri="{FF2B5EF4-FFF2-40B4-BE49-F238E27FC236}">
              <a16:creationId xmlns:a16="http://schemas.microsoft.com/office/drawing/2014/main" id="{00000000-0008-0000-0100-00004F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84" name="Text Box 32">
          <a:extLst>
            <a:ext uri="{FF2B5EF4-FFF2-40B4-BE49-F238E27FC236}">
              <a16:creationId xmlns:a16="http://schemas.microsoft.com/office/drawing/2014/main" id="{00000000-0008-0000-0100-000050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85" name="Text Box 3">
          <a:extLst>
            <a:ext uri="{FF2B5EF4-FFF2-40B4-BE49-F238E27FC236}">
              <a16:creationId xmlns:a16="http://schemas.microsoft.com/office/drawing/2014/main" id="{00000000-0008-0000-0100-000051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86" name="Text Box 63">
          <a:extLst>
            <a:ext uri="{FF2B5EF4-FFF2-40B4-BE49-F238E27FC236}">
              <a16:creationId xmlns:a16="http://schemas.microsoft.com/office/drawing/2014/main" id="{00000000-0008-0000-0100-000052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87" name="Text Box 3">
          <a:extLst>
            <a:ext uri="{FF2B5EF4-FFF2-40B4-BE49-F238E27FC236}">
              <a16:creationId xmlns:a16="http://schemas.microsoft.com/office/drawing/2014/main" id="{00000000-0008-0000-0100-000053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88" name="Text Box 32">
          <a:extLst>
            <a:ext uri="{FF2B5EF4-FFF2-40B4-BE49-F238E27FC236}">
              <a16:creationId xmlns:a16="http://schemas.microsoft.com/office/drawing/2014/main" id="{00000000-0008-0000-0100-000054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89" name="Text Box 3">
          <a:extLst>
            <a:ext uri="{FF2B5EF4-FFF2-40B4-BE49-F238E27FC236}">
              <a16:creationId xmlns:a16="http://schemas.microsoft.com/office/drawing/2014/main" id="{00000000-0008-0000-0100-000055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90" name="Text Box 63">
          <a:extLst>
            <a:ext uri="{FF2B5EF4-FFF2-40B4-BE49-F238E27FC236}">
              <a16:creationId xmlns:a16="http://schemas.microsoft.com/office/drawing/2014/main" id="{00000000-0008-0000-0100-000056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91" name="Text Box 3">
          <a:extLst>
            <a:ext uri="{FF2B5EF4-FFF2-40B4-BE49-F238E27FC236}">
              <a16:creationId xmlns:a16="http://schemas.microsoft.com/office/drawing/2014/main" id="{00000000-0008-0000-0100-000057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92" name="Text Box 32">
          <a:extLst>
            <a:ext uri="{FF2B5EF4-FFF2-40B4-BE49-F238E27FC236}">
              <a16:creationId xmlns:a16="http://schemas.microsoft.com/office/drawing/2014/main" id="{00000000-0008-0000-0100-000058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93" name="Text Box 3">
          <a:extLst>
            <a:ext uri="{FF2B5EF4-FFF2-40B4-BE49-F238E27FC236}">
              <a16:creationId xmlns:a16="http://schemas.microsoft.com/office/drawing/2014/main" id="{00000000-0008-0000-0100-000059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94" name="Text Box 63">
          <a:extLst>
            <a:ext uri="{FF2B5EF4-FFF2-40B4-BE49-F238E27FC236}">
              <a16:creationId xmlns:a16="http://schemas.microsoft.com/office/drawing/2014/main" id="{00000000-0008-0000-0100-00005A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95" name="Text Box 3">
          <a:extLst>
            <a:ext uri="{FF2B5EF4-FFF2-40B4-BE49-F238E27FC236}">
              <a16:creationId xmlns:a16="http://schemas.microsoft.com/office/drawing/2014/main" id="{00000000-0008-0000-0100-00005B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96" name="Text Box 32">
          <a:extLst>
            <a:ext uri="{FF2B5EF4-FFF2-40B4-BE49-F238E27FC236}">
              <a16:creationId xmlns:a16="http://schemas.microsoft.com/office/drawing/2014/main" id="{00000000-0008-0000-0100-00005C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97" name="Text Box 3">
          <a:extLst>
            <a:ext uri="{FF2B5EF4-FFF2-40B4-BE49-F238E27FC236}">
              <a16:creationId xmlns:a16="http://schemas.microsoft.com/office/drawing/2014/main" id="{00000000-0008-0000-0100-00005D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398" name="Text Box 63">
          <a:extLst>
            <a:ext uri="{FF2B5EF4-FFF2-40B4-BE49-F238E27FC236}">
              <a16:creationId xmlns:a16="http://schemas.microsoft.com/office/drawing/2014/main" id="{00000000-0008-0000-0100-00005E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399" name="Text Box 3">
          <a:extLst>
            <a:ext uri="{FF2B5EF4-FFF2-40B4-BE49-F238E27FC236}">
              <a16:creationId xmlns:a16="http://schemas.microsoft.com/office/drawing/2014/main" id="{00000000-0008-0000-0100-00005F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00" name="Text Box 32">
          <a:extLst>
            <a:ext uri="{FF2B5EF4-FFF2-40B4-BE49-F238E27FC236}">
              <a16:creationId xmlns:a16="http://schemas.microsoft.com/office/drawing/2014/main" id="{00000000-0008-0000-0100-000060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01" name="Text Box 3">
          <a:extLst>
            <a:ext uri="{FF2B5EF4-FFF2-40B4-BE49-F238E27FC236}">
              <a16:creationId xmlns:a16="http://schemas.microsoft.com/office/drawing/2014/main" id="{00000000-0008-0000-0100-000061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02" name="Text Box 63">
          <a:extLst>
            <a:ext uri="{FF2B5EF4-FFF2-40B4-BE49-F238E27FC236}">
              <a16:creationId xmlns:a16="http://schemas.microsoft.com/office/drawing/2014/main" id="{00000000-0008-0000-0100-000062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03" name="Text Box 3">
          <a:extLst>
            <a:ext uri="{FF2B5EF4-FFF2-40B4-BE49-F238E27FC236}">
              <a16:creationId xmlns:a16="http://schemas.microsoft.com/office/drawing/2014/main" id="{00000000-0008-0000-0100-000063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04" name="Text Box 32">
          <a:extLst>
            <a:ext uri="{FF2B5EF4-FFF2-40B4-BE49-F238E27FC236}">
              <a16:creationId xmlns:a16="http://schemas.microsoft.com/office/drawing/2014/main" id="{00000000-0008-0000-0100-000064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05" name="Text Box 3">
          <a:extLst>
            <a:ext uri="{FF2B5EF4-FFF2-40B4-BE49-F238E27FC236}">
              <a16:creationId xmlns:a16="http://schemas.microsoft.com/office/drawing/2014/main" id="{00000000-0008-0000-0100-000065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06" name="Text Box 63">
          <a:extLst>
            <a:ext uri="{FF2B5EF4-FFF2-40B4-BE49-F238E27FC236}">
              <a16:creationId xmlns:a16="http://schemas.microsoft.com/office/drawing/2014/main" id="{00000000-0008-0000-0100-000066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07" name="Text Box 3">
          <a:extLst>
            <a:ext uri="{FF2B5EF4-FFF2-40B4-BE49-F238E27FC236}">
              <a16:creationId xmlns:a16="http://schemas.microsoft.com/office/drawing/2014/main" id="{00000000-0008-0000-0100-000067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08" name="Text Box 32">
          <a:extLst>
            <a:ext uri="{FF2B5EF4-FFF2-40B4-BE49-F238E27FC236}">
              <a16:creationId xmlns:a16="http://schemas.microsoft.com/office/drawing/2014/main" id="{00000000-0008-0000-0100-000068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09" name="Text Box 3">
          <a:extLst>
            <a:ext uri="{FF2B5EF4-FFF2-40B4-BE49-F238E27FC236}">
              <a16:creationId xmlns:a16="http://schemas.microsoft.com/office/drawing/2014/main" id="{00000000-0008-0000-0100-000069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10" name="Text Box 63">
          <a:extLst>
            <a:ext uri="{FF2B5EF4-FFF2-40B4-BE49-F238E27FC236}">
              <a16:creationId xmlns:a16="http://schemas.microsoft.com/office/drawing/2014/main" id="{00000000-0008-0000-0100-00006A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11" name="Text Box 3">
          <a:extLst>
            <a:ext uri="{FF2B5EF4-FFF2-40B4-BE49-F238E27FC236}">
              <a16:creationId xmlns:a16="http://schemas.microsoft.com/office/drawing/2014/main" id="{00000000-0008-0000-0100-00006B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12" name="Text Box 32">
          <a:extLst>
            <a:ext uri="{FF2B5EF4-FFF2-40B4-BE49-F238E27FC236}">
              <a16:creationId xmlns:a16="http://schemas.microsoft.com/office/drawing/2014/main" id="{00000000-0008-0000-0100-00006C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13" name="Text Box 3">
          <a:extLst>
            <a:ext uri="{FF2B5EF4-FFF2-40B4-BE49-F238E27FC236}">
              <a16:creationId xmlns:a16="http://schemas.microsoft.com/office/drawing/2014/main" id="{00000000-0008-0000-0100-00006D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14" name="Text Box 63">
          <a:extLst>
            <a:ext uri="{FF2B5EF4-FFF2-40B4-BE49-F238E27FC236}">
              <a16:creationId xmlns:a16="http://schemas.microsoft.com/office/drawing/2014/main" id="{00000000-0008-0000-0100-00006E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15" name="Text Box 3">
          <a:extLst>
            <a:ext uri="{FF2B5EF4-FFF2-40B4-BE49-F238E27FC236}">
              <a16:creationId xmlns:a16="http://schemas.microsoft.com/office/drawing/2014/main" id="{00000000-0008-0000-0100-00006F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16" name="Text Box 32">
          <a:extLst>
            <a:ext uri="{FF2B5EF4-FFF2-40B4-BE49-F238E27FC236}">
              <a16:creationId xmlns:a16="http://schemas.microsoft.com/office/drawing/2014/main" id="{00000000-0008-0000-0100-000070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17" name="Text Box 3">
          <a:extLst>
            <a:ext uri="{FF2B5EF4-FFF2-40B4-BE49-F238E27FC236}">
              <a16:creationId xmlns:a16="http://schemas.microsoft.com/office/drawing/2014/main" id="{00000000-0008-0000-0100-000071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18" name="Text Box 63">
          <a:extLst>
            <a:ext uri="{FF2B5EF4-FFF2-40B4-BE49-F238E27FC236}">
              <a16:creationId xmlns:a16="http://schemas.microsoft.com/office/drawing/2014/main" id="{00000000-0008-0000-0100-000072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19" name="Text Box 3">
          <a:extLst>
            <a:ext uri="{FF2B5EF4-FFF2-40B4-BE49-F238E27FC236}">
              <a16:creationId xmlns:a16="http://schemas.microsoft.com/office/drawing/2014/main" id="{00000000-0008-0000-0100-000073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20" name="Text Box 32">
          <a:extLst>
            <a:ext uri="{FF2B5EF4-FFF2-40B4-BE49-F238E27FC236}">
              <a16:creationId xmlns:a16="http://schemas.microsoft.com/office/drawing/2014/main" id="{00000000-0008-0000-0100-000074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21" name="Text Box 3">
          <a:extLst>
            <a:ext uri="{FF2B5EF4-FFF2-40B4-BE49-F238E27FC236}">
              <a16:creationId xmlns:a16="http://schemas.microsoft.com/office/drawing/2014/main" id="{00000000-0008-0000-0100-000075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22" name="Text Box 63">
          <a:extLst>
            <a:ext uri="{FF2B5EF4-FFF2-40B4-BE49-F238E27FC236}">
              <a16:creationId xmlns:a16="http://schemas.microsoft.com/office/drawing/2014/main" id="{00000000-0008-0000-0100-000076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23" name="Text Box 3">
          <a:extLst>
            <a:ext uri="{FF2B5EF4-FFF2-40B4-BE49-F238E27FC236}">
              <a16:creationId xmlns:a16="http://schemas.microsoft.com/office/drawing/2014/main" id="{00000000-0008-0000-0100-000077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24" name="Text Box 32">
          <a:extLst>
            <a:ext uri="{FF2B5EF4-FFF2-40B4-BE49-F238E27FC236}">
              <a16:creationId xmlns:a16="http://schemas.microsoft.com/office/drawing/2014/main" id="{00000000-0008-0000-0100-000078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25" name="Text Box 3">
          <a:extLst>
            <a:ext uri="{FF2B5EF4-FFF2-40B4-BE49-F238E27FC236}">
              <a16:creationId xmlns:a16="http://schemas.microsoft.com/office/drawing/2014/main" id="{00000000-0008-0000-0100-000079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26" name="Text Box 63">
          <a:extLst>
            <a:ext uri="{FF2B5EF4-FFF2-40B4-BE49-F238E27FC236}">
              <a16:creationId xmlns:a16="http://schemas.microsoft.com/office/drawing/2014/main" id="{00000000-0008-0000-0100-00007A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27" name="Text Box 3">
          <a:extLst>
            <a:ext uri="{FF2B5EF4-FFF2-40B4-BE49-F238E27FC236}">
              <a16:creationId xmlns:a16="http://schemas.microsoft.com/office/drawing/2014/main" id="{00000000-0008-0000-0100-00007B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28" name="Text Box 32">
          <a:extLst>
            <a:ext uri="{FF2B5EF4-FFF2-40B4-BE49-F238E27FC236}">
              <a16:creationId xmlns:a16="http://schemas.microsoft.com/office/drawing/2014/main" id="{00000000-0008-0000-0100-00007C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29" name="Text Box 3">
          <a:extLst>
            <a:ext uri="{FF2B5EF4-FFF2-40B4-BE49-F238E27FC236}">
              <a16:creationId xmlns:a16="http://schemas.microsoft.com/office/drawing/2014/main" id="{00000000-0008-0000-0100-00007D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30" name="Text Box 63">
          <a:extLst>
            <a:ext uri="{FF2B5EF4-FFF2-40B4-BE49-F238E27FC236}">
              <a16:creationId xmlns:a16="http://schemas.microsoft.com/office/drawing/2014/main" id="{00000000-0008-0000-0100-00007E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31" name="Text Box 3">
          <a:extLst>
            <a:ext uri="{FF2B5EF4-FFF2-40B4-BE49-F238E27FC236}">
              <a16:creationId xmlns:a16="http://schemas.microsoft.com/office/drawing/2014/main" id="{00000000-0008-0000-0100-00007F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32" name="Text Box 32">
          <a:extLst>
            <a:ext uri="{FF2B5EF4-FFF2-40B4-BE49-F238E27FC236}">
              <a16:creationId xmlns:a16="http://schemas.microsoft.com/office/drawing/2014/main" id="{00000000-0008-0000-0100-000080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33" name="Text Box 3">
          <a:extLst>
            <a:ext uri="{FF2B5EF4-FFF2-40B4-BE49-F238E27FC236}">
              <a16:creationId xmlns:a16="http://schemas.microsoft.com/office/drawing/2014/main" id="{00000000-0008-0000-0100-000081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34" name="Text Box 63">
          <a:extLst>
            <a:ext uri="{FF2B5EF4-FFF2-40B4-BE49-F238E27FC236}">
              <a16:creationId xmlns:a16="http://schemas.microsoft.com/office/drawing/2014/main" id="{00000000-0008-0000-0100-000082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35" name="Text Box 3">
          <a:extLst>
            <a:ext uri="{FF2B5EF4-FFF2-40B4-BE49-F238E27FC236}">
              <a16:creationId xmlns:a16="http://schemas.microsoft.com/office/drawing/2014/main" id="{00000000-0008-0000-0100-000083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36" name="Text Box 32">
          <a:extLst>
            <a:ext uri="{FF2B5EF4-FFF2-40B4-BE49-F238E27FC236}">
              <a16:creationId xmlns:a16="http://schemas.microsoft.com/office/drawing/2014/main" id="{00000000-0008-0000-0100-000084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37" name="Text Box 3">
          <a:extLst>
            <a:ext uri="{FF2B5EF4-FFF2-40B4-BE49-F238E27FC236}">
              <a16:creationId xmlns:a16="http://schemas.microsoft.com/office/drawing/2014/main" id="{00000000-0008-0000-0100-000085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38" name="Text Box 63">
          <a:extLst>
            <a:ext uri="{FF2B5EF4-FFF2-40B4-BE49-F238E27FC236}">
              <a16:creationId xmlns:a16="http://schemas.microsoft.com/office/drawing/2014/main" id="{00000000-0008-0000-0100-000086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39" name="Text Box 3">
          <a:extLst>
            <a:ext uri="{FF2B5EF4-FFF2-40B4-BE49-F238E27FC236}">
              <a16:creationId xmlns:a16="http://schemas.microsoft.com/office/drawing/2014/main" id="{00000000-0008-0000-0100-000087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40" name="Text Box 32">
          <a:extLst>
            <a:ext uri="{FF2B5EF4-FFF2-40B4-BE49-F238E27FC236}">
              <a16:creationId xmlns:a16="http://schemas.microsoft.com/office/drawing/2014/main" id="{00000000-0008-0000-0100-000088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41" name="Text Box 3">
          <a:extLst>
            <a:ext uri="{FF2B5EF4-FFF2-40B4-BE49-F238E27FC236}">
              <a16:creationId xmlns:a16="http://schemas.microsoft.com/office/drawing/2014/main" id="{00000000-0008-0000-0100-000089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42" name="Text Box 63">
          <a:extLst>
            <a:ext uri="{FF2B5EF4-FFF2-40B4-BE49-F238E27FC236}">
              <a16:creationId xmlns:a16="http://schemas.microsoft.com/office/drawing/2014/main" id="{00000000-0008-0000-0100-00008A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43" name="Text Box 32">
          <a:extLst>
            <a:ext uri="{FF2B5EF4-FFF2-40B4-BE49-F238E27FC236}">
              <a16:creationId xmlns:a16="http://schemas.microsoft.com/office/drawing/2014/main" id="{00000000-0008-0000-0100-00008B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44" name="Text Box 3">
          <a:extLst>
            <a:ext uri="{FF2B5EF4-FFF2-40B4-BE49-F238E27FC236}">
              <a16:creationId xmlns:a16="http://schemas.microsoft.com/office/drawing/2014/main" id="{00000000-0008-0000-0100-00008C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45" name="Text Box 63">
          <a:extLst>
            <a:ext uri="{FF2B5EF4-FFF2-40B4-BE49-F238E27FC236}">
              <a16:creationId xmlns:a16="http://schemas.microsoft.com/office/drawing/2014/main" id="{00000000-0008-0000-0100-00008D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46" name="Text Box 3">
          <a:extLst>
            <a:ext uri="{FF2B5EF4-FFF2-40B4-BE49-F238E27FC236}">
              <a16:creationId xmlns:a16="http://schemas.microsoft.com/office/drawing/2014/main" id="{00000000-0008-0000-0100-00008E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47" name="Text Box 32">
          <a:extLst>
            <a:ext uri="{FF2B5EF4-FFF2-40B4-BE49-F238E27FC236}">
              <a16:creationId xmlns:a16="http://schemas.microsoft.com/office/drawing/2014/main" id="{00000000-0008-0000-0100-00008F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48" name="Text Box 3">
          <a:extLst>
            <a:ext uri="{FF2B5EF4-FFF2-40B4-BE49-F238E27FC236}">
              <a16:creationId xmlns:a16="http://schemas.microsoft.com/office/drawing/2014/main" id="{00000000-0008-0000-0100-000090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49" name="Text Box 63">
          <a:extLst>
            <a:ext uri="{FF2B5EF4-FFF2-40B4-BE49-F238E27FC236}">
              <a16:creationId xmlns:a16="http://schemas.microsoft.com/office/drawing/2014/main" id="{00000000-0008-0000-0100-000091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50" name="Text Box 3">
          <a:extLst>
            <a:ext uri="{FF2B5EF4-FFF2-40B4-BE49-F238E27FC236}">
              <a16:creationId xmlns:a16="http://schemas.microsoft.com/office/drawing/2014/main" id="{00000000-0008-0000-0100-000092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51" name="Text Box 32">
          <a:extLst>
            <a:ext uri="{FF2B5EF4-FFF2-40B4-BE49-F238E27FC236}">
              <a16:creationId xmlns:a16="http://schemas.microsoft.com/office/drawing/2014/main" id="{00000000-0008-0000-0100-000093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52" name="Text Box 3">
          <a:extLst>
            <a:ext uri="{FF2B5EF4-FFF2-40B4-BE49-F238E27FC236}">
              <a16:creationId xmlns:a16="http://schemas.microsoft.com/office/drawing/2014/main" id="{00000000-0008-0000-0100-000094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53" name="Text Box 63">
          <a:extLst>
            <a:ext uri="{FF2B5EF4-FFF2-40B4-BE49-F238E27FC236}">
              <a16:creationId xmlns:a16="http://schemas.microsoft.com/office/drawing/2014/main" id="{00000000-0008-0000-0100-000095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54" name="Text Box 3">
          <a:extLst>
            <a:ext uri="{FF2B5EF4-FFF2-40B4-BE49-F238E27FC236}">
              <a16:creationId xmlns:a16="http://schemas.microsoft.com/office/drawing/2014/main" id="{00000000-0008-0000-0100-000096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55" name="Text Box 32">
          <a:extLst>
            <a:ext uri="{FF2B5EF4-FFF2-40B4-BE49-F238E27FC236}">
              <a16:creationId xmlns:a16="http://schemas.microsoft.com/office/drawing/2014/main" id="{00000000-0008-0000-0100-000097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56" name="Text Box 3">
          <a:extLst>
            <a:ext uri="{FF2B5EF4-FFF2-40B4-BE49-F238E27FC236}">
              <a16:creationId xmlns:a16="http://schemas.microsoft.com/office/drawing/2014/main" id="{00000000-0008-0000-0100-000098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57" name="Text Box 63">
          <a:extLst>
            <a:ext uri="{FF2B5EF4-FFF2-40B4-BE49-F238E27FC236}">
              <a16:creationId xmlns:a16="http://schemas.microsoft.com/office/drawing/2014/main" id="{00000000-0008-0000-0100-000099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58" name="Text Box 3">
          <a:extLst>
            <a:ext uri="{FF2B5EF4-FFF2-40B4-BE49-F238E27FC236}">
              <a16:creationId xmlns:a16="http://schemas.microsoft.com/office/drawing/2014/main" id="{00000000-0008-0000-0100-00009A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59" name="Text Box 32">
          <a:extLst>
            <a:ext uri="{FF2B5EF4-FFF2-40B4-BE49-F238E27FC236}">
              <a16:creationId xmlns:a16="http://schemas.microsoft.com/office/drawing/2014/main" id="{00000000-0008-0000-0100-00009B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60" name="Text Box 3">
          <a:extLst>
            <a:ext uri="{FF2B5EF4-FFF2-40B4-BE49-F238E27FC236}">
              <a16:creationId xmlns:a16="http://schemas.microsoft.com/office/drawing/2014/main" id="{00000000-0008-0000-0100-00009C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61" name="Text Box 63">
          <a:extLst>
            <a:ext uri="{FF2B5EF4-FFF2-40B4-BE49-F238E27FC236}">
              <a16:creationId xmlns:a16="http://schemas.microsoft.com/office/drawing/2014/main" id="{00000000-0008-0000-0100-00009D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62" name="Text Box 3">
          <a:extLst>
            <a:ext uri="{FF2B5EF4-FFF2-40B4-BE49-F238E27FC236}">
              <a16:creationId xmlns:a16="http://schemas.microsoft.com/office/drawing/2014/main" id="{00000000-0008-0000-0100-00009E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63" name="Text Box 32">
          <a:extLst>
            <a:ext uri="{FF2B5EF4-FFF2-40B4-BE49-F238E27FC236}">
              <a16:creationId xmlns:a16="http://schemas.microsoft.com/office/drawing/2014/main" id="{00000000-0008-0000-0100-00009F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64" name="Text Box 3">
          <a:extLst>
            <a:ext uri="{FF2B5EF4-FFF2-40B4-BE49-F238E27FC236}">
              <a16:creationId xmlns:a16="http://schemas.microsoft.com/office/drawing/2014/main" id="{00000000-0008-0000-0100-0000A0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65" name="Text Box 63">
          <a:extLst>
            <a:ext uri="{FF2B5EF4-FFF2-40B4-BE49-F238E27FC236}">
              <a16:creationId xmlns:a16="http://schemas.microsoft.com/office/drawing/2014/main" id="{00000000-0008-0000-0100-0000A1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66" name="Text Box 3">
          <a:extLst>
            <a:ext uri="{FF2B5EF4-FFF2-40B4-BE49-F238E27FC236}">
              <a16:creationId xmlns:a16="http://schemas.microsoft.com/office/drawing/2014/main" id="{00000000-0008-0000-0100-0000A2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67" name="Text Box 32">
          <a:extLst>
            <a:ext uri="{FF2B5EF4-FFF2-40B4-BE49-F238E27FC236}">
              <a16:creationId xmlns:a16="http://schemas.microsoft.com/office/drawing/2014/main" id="{00000000-0008-0000-0100-0000A3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68" name="Text Box 3">
          <a:extLst>
            <a:ext uri="{FF2B5EF4-FFF2-40B4-BE49-F238E27FC236}">
              <a16:creationId xmlns:a16="http://schemas.microsoft.com/office/drawing/2014/main" id="{00000000-0008-0000-0100-0000A4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69" name="Text Box 63">
          <a:extLst>
            <a:ext uri="{FF2B5EF4-FFF2-40B4-BE49-F238E27FC236}">
              <a16:creationId xmlns:a16="http://schemas.microsoft.com/office/drawing/2014/main" id="{00000000-0008-0000-0100-0000A5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70" name="Text Box 3">
          <a:extLst>
            <a:ext uri="{FF2B5EF4-FFF2-40B4-BE49-F238E27FC236}">
              <a16:creationId xmlns:a16="http://schemas.microsoft.com/office/drawing/2014/main" id="{00000000-0008-0000-0100-0000A6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71" name="Text Box 32">
          <a:extLst>
            <a:ext uri="{FF2B5EF4-FFF2-40B4-BE49-F238E27FC236}">
              <a16:creationId xmlns:a16="http://schemas.microsoft.com/office/drawing/2014/main" id="{00000000-0008-0000-0100-0000A7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72" name="Text Box 3">
          <a:extLst>
            <a:ext uri="{FF2B5EF4-FFF2-40B4-BE49-F238E27FC236}">
              <a16:creationId xmlns:a16="http://schemas.microsoft.com/office/drawing/2014/main" id="{00000000-0008-0000-0100-0000A8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73" name="Text Box 63">
          <a:extLst>
            <a:ext uri="{FF2B5EF4-FFF2-40B4-BE49-F238E27FC236}">
              <a16:creationId xmlns:a16="http://schemas.microsoft.com/office/drawing/2014/main" id="{00000000-0008-0000-0100-0000A9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74" name="Text Box 3">
          <a:extLst>
            <a:ext uri="{FF2B5EF4-FFF2-40B4-BE49-F238E27FC236}">
              <a16:creationId xmlns:a16="http://schemas.microsoft.com/office/drawing/2014/main" id="{00000000-0008-0000-0100-0000AA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75" name="Text Box 32">
          <a:extLst>
            <a:ext uri="{FF2B5EF4-FFF2-40B4-BE49-F238E27FC236}">
              <a16:creationId xmlns:a16="http://schemas.microsoft.com/office/drawing/2014/main" id="{00000000-0008-0000-0100-0000AB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76" name="Text Box 3">
          <a:extLst>
            <a:ext uri="{FF2B5EF4-FFF2-40B4-BE49-F238E27FC236}">
              <a16:creationId xmlns:a16="http://schemas.microsoft.com/office/drawing/2014/main" id="{00000000-0008-0000-0100-0000AC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77" name="Text Box 63">
          <a:extLst>
            <a:ext uri="{FF2B5EF4-FFF2-40B4-BE49-F238E27FC236}">
              <a16:creationId xmlns:a16="http://schemas.microsoft.com/office/drawing/2014/main" id="{00000000-0008-0000-0100-0000AD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78" name="Text Box 3">
          <a:extLst>
            <a:ext uri="{FF2B5EF4-FFF2-40B4-BE49-F238E27FC236}">
              <a16:creationId xmlns:a16="http://schemas.microsoft.com/office/drawing/2014/main" id="{00000000-0008-0000-0100-0000AE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79" name="Text Box 32">
          <a:extLst>
            <a:ext uri="{FF2B5EF4-FFF2-40B4-BE49-F238E27FC236}">
              <a16:creationId xmlns:a16="http://schemas.microsoft.com/office/drawing/2014/main" id="{00000000-0008-0000-0100-0000AF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80" name="Text Box 3">
          <a:extLst>
            <a:ext uri="{FF2B5EF4-FFF2-40B4-BE49-F238E27FC236}">
              <a16:creationId xmlns:a16="http://schemas.microsoft.com/office/drawing/2014/main" id="{00000000-0008-0000-0100-0000B0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81" name="Text Box 63">
          <a:extLst>
            <a:ext uri="{FF2B5EF4-FFF2-40B4-BE49-F238E27FC236}">
              <a16:creationId xmlns:a16="http://schemas.microsoft.com/office/drawing/2014/main" id="{00000000-0008-0000-0100-0000B1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82" name="Text Box 3">
          <a:extLst>
            <a:ext uri="{FF2B5EF4-FFF2-40B4-BE49-F238E27FC236}">
              <a16:creationId xmlns:a16="http://schemas.microsoft.com/office/drawing/2014/main" id="{00000000-0008-0000-0100-0000B2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83" name="Text Box 32">
          <a:extLst>
            <a:ext uri="{FF2B5EF4-FFF2-40B4-BE49-F238E27FC236}">
              <a16:creationId xmlns:a16="http://schemas.microsoft.com/office/drawing/2014/main" id="{00000000-0008-0000-0100-0000B3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84" name="Text Box 3">
          <a:extLst>
            <a:ext uri="{FF2B5EF4-FFF2-40B4-BE49-F238E27FC236}">
              <a16:creationId xmlns:a16="http://schemas.microsoft.com/office/drawing/2014/main" id="{00000000-0008-0000-0100-0000B4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85" name="Text Box 63">
          <a:extLst>
            <a:ext uri="{FF2B5EF4-FFF2-40B4-BE49-F238E27FC236}">
              <a16:creationId xmlns:a16="http://schemas.microsoft.com/office/drawing/2014/main" id="{00000000-0008-0000-0100-0000B5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86" name="Text Box 3">
          <a:extLst>
            <a:ext uri="{FF2B5EF4-FFF2-40B4-BE49-F238E27FC236}">
              <a16:creationId xmlns:a16="http://schemas.microsoft.com/office/drawing/2014/main" id="{00000000-0008-0000-0100-0000B6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87" name="Text Box 32">
          <a:extLst>
            <a:ext uri="{FF2B5EF4-FFF2-40B4-BE49-F238E27FC236}">
              <a16:creationId xmlns:a16="http://schemas.microsoft.com/office/drawing/2014/main" id="{00000000-0008-0000-0100-0000B7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88" name="Text Box 3">
          <a:extLst>
            <a:ext uri="{FF2B5EF4-FFF2-40B4-BE49-F238E27FC236}">
              <a16:creationId xmlns:a16="http://schemas.microsoft.com/office/drawing/2014/main" id="{00000000-0008-0000-0100-0000B8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89" name="Text Box 63">
          <a:extLst>
            <a:ext uri="{FF2B5EF4-FFF2-40B4-BE49-F238E27FC236}">
              <a16:creationId xmlns:a16="http://schemas.microsoft.com/office/drawing/2014/main" id="{00000000-0008-0000-0100-0000B9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90" name="Text Box 3">
          <a:extLst>
            <a:ext uri="{FF2B5EF4-FFF2-40B4-BE49-F238E27FC236}">
              <a16:creationId xmlns:a16="http://schemas.microsoft.com/office/drawing/2014/main" id="{00000000-0008-0000-0100-0000BA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91" name="Text Box 32">
          <a:extLst>
            <a:ext uri="{FF2B5EF4-FFF2-40B4-BE49-F238E27FC236}">
              <a16:creationId xmlns:a16="http://schemas.microsoft.com/office/drawing/2014/main" id="{00000000-0008-0000-0100-0000BB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92" name="Text Box 3">
          <a:extLst>
            <a:ext uri="{FF2B5EF4-FFF2-40B4-BE49-F238E27FC236}">
              <a16:creationId xmlns:a16="http://schemas.microsoft.com/office/drawing/2014/main" id="{00000000-0008-0000-0100-0000BC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93" name="Text Box 63">
          <a:extLst>
            <a:ext uri="{FF2B5EF4-FFF2-40B4-BE49-F238E27FC236}">
              <a16:creationId xmlns:a16="http://schemas.microsoft.com/office/drawing/2014/main" id="{00000000-0008-0000-0100-0000BD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94" name="Text Box 3">
          <a:extLst>
            <a:ext uri="{FF2B5EF4-FFF2-40B4-BE49-F238E27FC236}">
              <a16:creationId xmlns:a16="http://schemas.microsoft.com/office/drawing/2014/main" id="{00000000-0008-0000-0100-0000BE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95" name="Text Box 32">
          <a:extLst>
            <a:ext uri="{FF2B5EF4-FFF2-40B4-BE49-F238E27FC236}">
              <a16:creationId xmlns:a16="http://schemas.microsoft.com/office/drawing/2014/main" id="{00000000-0008-0000-0100-0000BF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96" name="Text Box 3">
          <a:extLst>
            <a:ext uri="{FF2B5EF4-FFF2-40B4-BE49-F238E27FC236}">
              <a16:creationId xmlns:a16="http://schemas.microsoft.com/office/drawing/2014/main" id="{00000000-0008-0000-0100-0000C0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97" name="Text Box 63">
          <a:extLst>
            <a:ext uri="{FF2B5EF4-FFF2-40B4-BE49-F238E27FC236}">
              <a16:creationId xmlns:a16="http://schemas.microsoft.com/office/drawing/2014/main" id="{00000000-0008-0000-0100-0000C1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498" name="Text Box 3">
          <a:extLst>
            <a:ext uri="{FF2B5EF4-FFF2-40B4-BE49-F238E27FC236}">
              <a16:creationId xmlns:a16="http://schemas.microsoft.com/office/drawing/2014/main" id="{00000000-0008-0000-0100-0000C2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499" name="Text Box 32">
          <a:extLst>
            <a:ext uri="{FF2B5EF4-FFF2-40B4-BE49-F238E27FC236}">
              <a16:creationId xmlns:a16="http://schemas.microsoft.com/office/drawing/2014/main" id="{00000000-0008-0000-0100-0000C3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00" name="Text Box 3">
          <a:extLst>
            <a:ext uri="{FF2B5EF4-FFF2-40B4-BE49-F238E27FC236}">
              <a16:creationId xmlns:a16="http://schemas.microsoft.com/office/drawing/2014/main" id="{00000000-0008-0000-0100-0000C4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01" name="Text Box 63">
          <a:extLst>
            <a:ext uri="{FF2B5EF4-FFF2-40B4-BE49-F238E27FC236}">
              <a16:creationId xmlns:a16="http://schemas.microsoft.com/office/drawing/2014/main" id="{00000000-0008-0000-0100-0000C5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02" name="Text Box 3">
          <a:extLst>
            <a:ext uri="{FF2B5EF4-FFF2-40B4-BE49-F238E27FC236}">
              <a16:creationId xmlns:a16="http://schemas.microsoft.com/office/drawing/2014/main" id="{00000000-0008-0000-0100-0000C6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03" name="Text Box 32">
          <a:extLst>
            <a:ext uri="{FF2B5EF4-FFF2-40B4-BE49-F238E27FC236}">
              <a16:creationId xmlns:a16="http://schemas.microsoft.com/office/drawing/2014/main" id="{00000000-0008-0000-0100-0000C7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04" name="Text Box 3">
          <a:extLst>
            <a:ext uri="{FF2B5EF4-FFF2-40B4-BE49-F238E27FC236}">
              <a16:creationId xmlns:a16="http://schemas.microsoft.com/office/drawing/2014/main" id="{00000000-0008-0000-0100-0000C8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05" name="Text Box 63">
          <a:extLst>
            <a:ext uri="{FF2B5EF4-FFF2-40B4-BE49-F238E27FC236}">
              <a16:creationId xmlns:a16="http://schemas.microsoft.com/office/drawing/2014/main" id="{00000000-0008-0000-0100-0000C9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06" name="Text Box 3">
          <a:extLst>
            <a:ext uri="{FF2B5EF4-FFF2-40B4-BE49-F238E27FC236}">
              <a16:creationId xmlns:a16="http://schemas.microsoft.com/office/drawing/2014/main" id="{00000000-0008-0000-0100-0000CA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07" name="Text Box 32">
          <a:extLst>
            <a:ext uri="{FF2B5EF4-FFF2-40B4-BE49-F238E27FC236}">
              <a16:creationId xmlns:a16="http://schemas.microsoft.com/office/drawing/2014/main" id="{00000000-0008-0000-0100-0000CB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08" name="Text Box 3">
          <a:extLst>
            <a:ext uri="{FF2B5EF4-FFF2-40B4-BE49-F238E27FC236}">
              <a16:creationId xmlns:a16="http://schemas.microsoft.com/office/drawing/2014/main" id="{00000000-0008-0000-0100-0000CC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09" name="Text Box 63">
          <a:extLst>
            <a:ext uri="{FF2B5EF4-FFF2-40B4-BE49-F238E27FC236}">
              <a16:creationId xmlns:a16="http://schemas.microsoft.com/office/drawing/2014/main" id="{00000000-0008-0000-0100-0000CD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10" name="Text Box 3">
          <a:extLst>
            <a:ext uri="{FF2B5EF4-FFF2-40B4-BE49-F238E27FC236}">
              <a16:creationId xmlns:a16="http://schemas.microsoft.com/office/drawing/2014/main" id="{00000000-0008-0000-0100-0000CE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11" name="Text Box 32">
          <a:extLst>
            <a:ext uri="{FF2B5EF4-FFF2-40B4-BE49-F238E27FC236}">
              <a16:creationId xmlns:a16="http://schemas.microsoft.com/office/drawing/2014/main" id="{00000000-0008-0000-0100-0000CF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12" name="Text Box 3">
          <a:extLst>
            <a:ext uri="{FF2B5EF4-FFF2-40B4-BE49-F238E27FC236}">
              <a16:creationId xmlns:a16="http://schemas.microsoft.com/office/drawing/2014/main" id="{00000000-0008-0000-0100-0000D0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13" name="Text Box 63">
          <a:extLst>
            <a:ext uri="{FF2B5EF4-FFF2-40B4-BE49-F238E27FC236}">
              <a16:creationId xmlns:a16="http://schemas.microsoft.com/office/drawing/2014/main" id="{00000000-0008-0000-0100-0000D1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14" name="Text Box 3">
          <a:extLst>
            <a:ext uri="{FF2B5EF4-FFF2-40B4-BE49-F238E27FC236}">
              <a16:creationId xmlns:a16="http://schemas.microsoft.com/office/drawing/2014/main" id="{00000000-0008-0000-0100-0000D2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15" name="Text Box 32">
          <a:extLst>
            <a:ext uri="{FF2B5EF4-FFF2-40B4-BE49-F238E27FC236}">
              <a16:creationId xmlns:a16="http://schemas.microsoft.com/office/drawing/2014/main" id="{00000000-0008-0000-0100-0000D3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16" name="Text Box 3">
          <a:extLst>
            <a:ext uri="{FF2B5EF4-FFF2-40B4-BE49-F238E27FC236}">
              <a16:creationId xmlns:a16="http://schemas.microsoft.com/office/drawing/2014/main" id="{00000000-0008-0000-0100-0000D4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17" name="Text Box 63">
          <a:extLst>
            <a:ext uri="{FF2B5EF4-FFF2-40B4-BE49-F238E27FC236}">
              <a16:creationId xmlns:a16="http://schemas.microsoft.com/office/drawing/2014/main" id="{00000000-0008-0000-0100-0000D5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18" name="Text Box 3">
          <a:extLst>
            <a:ext uri="{FF2B5EF4-FFF2-40B4-BE49-F238E27FC236}">
              <a16:creationId xmlns:a16="http://schemas.microsoft.com/office/drawing/2014/main" id="{00000000-0008-0000-0100-0000D6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19" name="Text Box 32">
          <a:extLst>
            <a:ext uri="{FF2B5EF4-FFF2-40B4-BE49-F238E27FC236}">
              <a16:creationId xmlns:a16="http://schemas.microsoft.com/office/drawing/2014/main" id="{00000000-0008-0000-0100-0000D7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20" name="Text Box 3">
          <a:extLst>
            <a:ext uri="{FF2B5EF4-FFF2-40B4-BE49-F238E27FC236}">
              <a16:creationId xmlns:a16="http://schemas.microsoft.com/office/drawing/2014/main" id="{00000000-0008-0000-0100-0000D8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21" name="Text Box 63">
          <a:extLst>
            <a:ext uri="{FF2B5EF4-FFF2-40B4-BE49-F238E27FC236}">
              <a16:creationId xmlns:a16="http://schemas.microsoft.com/office/drawing/2014/main" id="{00000000-0008-0000-0100-0000D9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22" name="Text Box 3">
          <a:extLst>
            <a:ext uri="{FF2B5EF4-FFF2-40B4-BE49-F238E27FC236}">
              <a16:creationId xmlns:a16="http://schemas.microsoft.com/office/drawing/2014/main" id="{00000000-0008-0000-0100-0000DA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23" name="Text Box 32">
          <a:extLst>
            <a:ext uri="{FF2B5EF4-FFF2-40B4-BE49-F238E27FC236}">
              <a16:creationId xmlns:a16="http://schemas.microsoft.com/office/drawing/2014/main" id="{00000000-0008-0000-0100-0000DB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24" name="Text Box 3">
          <a:extLst>
            <a:ext uri="{FF2B5EF4-FFF2-40B4-BE49-F238E27FC236}">
              <a16:creationId xmlns:a16="http://schemas.microsoft.com/office/drawing/2014/main" id="{00000000-0008-0000-0100-0000DC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25" name="Text Box 63">
          <a:extLst>
            <a:ext uri="{FF2B5EF4-FFF2-40B4-BE49-F238E27FC236}">
              <a16:creationId xmlns:a16="http://schemas.microsoft.com/office/drawing/2014/main" id="{00000000-0008-0000-0100-0000DD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26" name="Text Box 3">
          <a:extLst>
            <a:ext uri="{FF2B5EF4-FFF2-40B4-BE49-F238E27FC236}">
              <a16:creationId xmlns:a16="http://schemas.microsoft.com/office/drawing/2014/main" id="{00000000-0008-0000-0100-0000DE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27" name="Text Box 32">
          <a:extLst>
            <a:ext uri="{FF2B5EF4-FFF2-40B4-BE49-F238E27FC236}">
              <a16:creationId xmlns:a16="http://schemas.microsoft.com/office/drawing/2014/main" id="{00000000-0008-0000-0100-0000DF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28" name="Text Box 3">
          <a:extLst>
            <a:ext uri="{FF2B5EF4-FFF2-40B4-BE49-F238E27FC236}">
              <a16:creationId xmlns:a16="http://schemas.microsoft.com/office/drawing/2014/main" id="{00000000-0008-0000-0100-0000E0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29" name="Text Box 63">
          <a:extLst>
            <a:ext uri="{FF2B5EF4-FFF2-40B4-BE49-F238E27FC236}">
              <a16:creationId xmlns:a16="http://schemas.microsoft.com/office/drawing/2014/main" id="{00000000-0008-0000-0100-0000E1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30" name="Text Box 3">
          <a:extLst>
            <a:ext uri="{FF2B5EF4-FFF2-40B4-BE49-F238E27FC236}">
              <a16:creationId xmlns:a16="http://schemas.microsoft.com/office/drawing/2014/main" id="{00000000-0008-0000-0100-0000E2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31" name="Text Box 32">
          <a:extLst>
            <a:ext uri="{FF2B5EF4-FFF2-40B4-BE49-F238E27FC236}">
              <a16:creationId xmlns:a16="http://schemas.microsoft.com/office/drawing/2014/main" id="{00000000-0008-0000-0100-0000E3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32" name="Text Box 3">
          <a:extLst>
            <a:ext uri="{FF2B5EF4-FFF2-40B4-BE49-F238E27FC236}">
              <a16:creationId xmlns:a16="http://schemas.microsoft.com/office/drawing/2014/main" id="{00000000-0008-0000-0100-0000E4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33" name="Text Box 63">
          <a:extLst>
            <a:ext uri="{FF2B5EF4-FFF2-40B4-BE49-F238E27FC236}">
              <a16:creationId xmlns:a16="http://schemas.microsoft.com/office/drawing/2014/main" id="{00000000-0008-0000-0100-0000E5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34" name="Text Box 3">
          <a:extLst>
            <a:ext uri="{FF2B5EF4-FFF2-40B4-BE49-F238E27FC236}">
              <a16:creationId xmlns:a16="http://schemas.microsoft.com/office/drawing/2014/main" id="{00000000-0008-0000-0100-0000E6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35" name="Text Box 32">
          <a:extLst>
            <a:ext uri="{FF2B5EF4-FFF2-40B4-BE49-F238E27FC236}">
              <a16:creationId xmlns:a16="http://schemas.microsoft.com/office/drawing/2014/main" id="{00000000-0008-0000-0100-0000E7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36" name="Text Box 3">
          <a:extLst>
            <a:ext uri="{FF2B5EF4-FFF2-40B4-BE49-F238E27FC236}">
              <a16:creationId xmlns:a16="http://schemas.microsoft.com/office/drawing/2014/main" id="{00000000-0008-0000-0100-0000E8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37" name="Text Box 63">
          <a:extLst>
            <a:ext uri="{FF2B5EF4-FFF2-40B4-BE49-F238E27FC236}">
              <a16:creationId xmlns:a16="http://schemas.microsoft.com/office/drawing/2014/main" id="{00000000-0008-0000-0100-0000E9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38" name="Text Box 3">
          <a:extLst>
            <a:ext uri="{FF2B5EF4-FFF2-40B4-BE49-F238E27FC236}">
              <a16:creationId xmlns:a16="http://schemas.microsoft.com/office/drawing/2014/main" id="{00000000-0008-0000-0100-0000EA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39" name="Text Box 32">
          <a:extLst>
            <a:ext uri="{FF2B5EF4-FFF2-40B4-BE49-F238E27FC236}">
              <a16:creationId xmlns:a16="http://schemas.microsoft.com/office/drawing/2014/main" id="{00000000-0008-0000-0100-0000EB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40" name="Text Box 3">
          <a:extLst>
            <a:ext uri="{FF2B5EF4-FFF2-40B4-BE49-F238E27FC236}">
              <a16:creationId xmlns:a16="http://schemas.microsoft.com/office/drawing/2014/main" id="{00000000-0008-0000-0100-0000EC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41" name="Text Box 63">
          <a:extLst>
            <a:ext uri="{FF2B5EF4-FFF2-40B4-BE49-F238E27FC236}">
              <a16:creationId xmlns:a16="http://schemas.microsoft.com/office/drawing/2014/main" id="{00000000-0008-0000-0100-0000ED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42" name="Text Box 3">
          <a:extLst>
            <a:ext uri="{FF2B5EF4-FFF2-40B4-BE49-F238E27FC236}">
              <a16:creationId xmlns:a16="http://schemas.microsoft.com/office/drawing/2014/main" id="{00000000-0008-0000-0100-0000EE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43" name="Text Box 32">
          <a:extLst>
            <a:ext uri="{FF2B5EF4-FFF2-40B4-BE49-F238E27FC236}">
              <a16:creationId xmlns:a16="http://schemas.microsoft.com/office/drawing/2014/main" id="{00000000-0008-0000-0100-0000EF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44" name="Text Box 3">
          <a:extLst>
            <a:ext uri="{FF2B5EF4-FFF2-40B4-BE49-F238E27FC236}">
              <a16:creationId xmlns:a16="http://schemas.microsoft.com/office/drawing/2014/main" id="{00000000-0008-0000-0100-0000F0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45" name="Text Box 63">
          <a:extLst>
            <a:ext uri="{FF2B5EF4-FFF2-40B4-BE49-F238E27FC236}">
              <a16:creationId xmlns:a16="http://schemas.microsoft.com/office/drawing/2014/main" id="{00000000-0008-0000-0100-0000F1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46" name="Text Box 3">
          <a:extLst>
            <a:ext uri="{FF2B5EF4-FFF2-40B4-BE49-F238E27FC236}">
              <a16:creationId xmlns:a16="http://schemas.microsoft.com/office/drawing/2014/main" id="{00000000-0008-0000-0100-0000F2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47" name="Text Box 32">
          <a:extLst>
            <a:ext uri="{FF2B5EF4-FFF2-40B4-BE49-F238E27FC236}">
              <a16:creationId xmlns:a16="http://schemas.microsoft.com/office/drawing/2014/main" id="{00000000-0008-0000-0100-0000F3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48" name="Text Box 3">
          <a:extLst>
            <a:ext uri="{FF2B5EF4-FFF2-40B4-BE49-F238E27FC236}">
              <a16:creationId xmlns:a16="http://schemas.microsoft.com/office/drawing/2014/main" id="{00000000-0008-0000-0100-0000F4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49" name="Text Box 63">
          <a:extLst>
            <a:ext uri="{FF2B5EF4-FFF2-40B4-BE49-F238E27FC236}">
              <a16:creationId xmlns:a16="http://schemas.microsoft.com/office/drawing/2014/main" id="{00000000-0008-0000-0100-0000F5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50" name="Text Box 3">
          <a:extLst>
            <a:ext uri="{FF2B5EF4-FFF2-40B4-BE49-F238E27FC236}">
              <a16:creationId xmlns:a16="http://schemas.microsoft.com/office/drawing/2014/main" id="{00000000-0008-0000-0100-0000F6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51" name="Text Box 32">
          <a:extLst>
            <a:ext uri="{FF2B5EF4-FFF2-40B4-BE49-F238E27FC236}">
              <a16:creationId xmlns:a16="http://schemas.microsoft.com/office/drawing/2014/main" id="{00000000-0008-0000-0100-0000F7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52" name="Text Box 3">
          <a:extLst>
            <a:ext uri="{FF2B5EF4-FFF2-40B4-BE49-F238E27FC236}">
              <a16:creationId xmlns:a16="http://schemas.microsoft.com/office/drawing/2014/main" id="{00000000-0008-0000-0100-0000F8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53" name="Text Box 63">
          <a:extLst>
            <a:ext uri="{FF2B5EF4-FFF2-40B4-BE49-F238E27FC236}">
              <a16:creationId xmlns:a16="http://schemas.microsoft.com/office/drawing/2014/main" id="{00000000-0008-0000-0100-0000F9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54" name="Text Box 3">
          <a:extLst>
            <a:ext uri="{FF2B5EF4-FFF2-40B4-BE49-F238E27FC236}">
              <a16:creationId xmlns:a16="http://schemas.microsoft.com/office/drawing/2014/main" id="{00000000-0008-0000-0100-0000FA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55" name="Text Box 32">
          <a:extLst>
            <a:ext uri="{FF2B5EF4-FFF2-40B4-BE49-F238E27FC236}">
              <a16:creationId xmlns:a16="http://schemas.microsoft.com/office/drawing/2014/main" id="{00000000-0008-0000-0100-0000FB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56" name="Text Box 3">
          <a:extLst>
            <a:ext uri="{FF2B5EF4-FFF2-40B4-BE49-F238E27FC236}">
              <a16:creationId xmlns:a16="http://schemas.microsoft.com/office/drawing/2014/main" id="{00000000-0008-0000-0100-0000FC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57" name="Text Box 63">
          <a:extLst>
            <a:ext uri="{FF2B5EF4-FFF2-40B4-BE49-F238E27FC236}">
              <a16:creationId xmlns:a16="http://schemas.microsoft.com/office/drawing/2014/main" id="{00000000-0008-0000-0100-0000FD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58" name="Text Box 3">
          <a:extLst>
            <a:ext uri="{FF2B5EF4-FFF2-40B4-BE49-F238E27FC236}">
              <a16:creationId xmlns:a16="http://schemas.microsoft.com/office/drawing/2014/main" id="{00000000-0008-0000-0100-0000FE09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59" name="Text Box 32">
          <a:extLst>
            <a:ext uri="{FF2B5EF4-FFF2-40B4-BE49-F238E27FC236}">
              <a16:creationId xmlns:a16="http://schemas.microsoft.com/office/drawing/2014/main" id="{00000000-0008-0000-0100-0000FF09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60" name="Text Box 3">
          <a:extLst>
            <a:ext uri="{FF2B5EF4-FFF2-40B4-BE49-F238E27FC236}">
              <a16:creationId xmlns:a16="http://schemas.microsoft.com/office/drawing/2014/main" id="{00000000-0008-0000-0100-000000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61" name="Text Box 63">
          <a:extLst>
            <a:ext uri="{FF2B5EF4-FFF2-40B4-BE49-F238E27FC236}">
              <a16:creationId xmlns:a16="http://schemas.microsoft.com/office/drawing/2014/main" id="{00000000-0008-0000-0100-000001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62" name="Text Box 3">
          <a:extLst>
            <a:ext uri="{FF2B5EF4-FFF2-40B4-BE49-F238E27FC236}">
              <a16:creationId xmlns:a16="http://schemas.microsoft.com/office/drawing/2014/main" id="{00000000-0008-0000-0100-000002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63" name="Text Box 32">
          <a:extLst>
            <a:ext uri="{FF2B5EF4-FFF2-40B4-BE49-F238E27FC236}">
              <a16:creationId xmlns:a16="http://schemas.microsoft.com/office/drawing/2014/main" id="{00000000-0008-0000-0100-000003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64" name="Text Box 3">
          <a:extLst>
            <a:ext uri="{FF2B5EF4-FFF2-40B4-BE49-F238E27FC236}">
              <a16:creationId xmlns:a16="http://schemas.microsoft.com/office/drawing/2014/main" id="{00000000-0008-0000-0100-000004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65" name="Text Box 63">
          <a:extLst>
            <a:ext uri="{FF2B5EF4-FFF2-40B4-BE49-F238E27FC236}">
              <a16:creationId xmlns:a16="http://schemas.microsoft.com/office/drawing/2014/main" id="{00000000-0008-0000-0100-000005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66" name="Text Box 3">
          <a:extLst>
            <a:ext uri="{FF2B5EF4-FFF2-40B4-BE49-F238E27FC236}">
              <a16:creationId xmlns:a16="http://schemas.microsoft.com/office/drawing/2014/main" id="{00000000-0008-0000-0100-000006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67" name="Text Box 32">
          <a:extLst>
            <a:ext uri="{FF2B5EF4-FFF2-40B4-BE49-F238E27FC236}">
              <a16:creationId xmlns:a16="http://schemas.microsoft.com/office/drawing/2014/main" id="{00000000-0008-0000-0100-000007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68" name="Text Box 3">
          <a:extLst>
            <a:ext uri="{FF2B5EF4-FFF2-40B4-BE49-F238E27FC236}">
              <a16:creationId xmlns:a16="http://schemas.microsoft.com/office/drawing/2014/main" id="{00000000-0008-0000-0100-000008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69" name="Text Box 63">
          <a:extLst>
            <a:ext uri="{FF2B5EF4-FFF2-40B4-BE49-F238E27FC236}">
              <a16:creationId xmlns:a16="http://schemas.microsoft.com/office/drawing/2014/main" id="{00000000-0008-0000-0100-000009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70" name="Text Box 3">
          <a:extLst>
            <a:ext uri="{FF2B5EF4-FFF2-40B4-BE49-F238E27FC236}">
              <a16:creationId xmlns:a16="http://schemas.microsoft.com/office/drawing/2014/main" id="{00000000-0008-0000-0100-00000A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71" name="Text Box 32">
          <a:extLst>
            <a:ext uri="{FF2B5EF4-FFF2-40B4-BE49-F238E27FC236}">
              <a16:creationId xmlns:a16="http://schemas.microsoft.com/office/drawing/2014/main" id="{00000000-0008-0000-0100-00000B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72" name="Text Box 3">
          <a:extLst>
            <a:ext uri="{FF2B5EF4-FFF2-40B4-BE49-F238E27FC236}">
              <a16:creationId xmlns:a16="http://schemas.microsoft.com/office/drawing/2014/main" id="{00000000-0008-0000-0100-00000C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73" name="Text Box 63">
          <a:extLst>
            <a:ext uri="{FF2B5EF4-FFF2-40B4-BE49-F238E27FC236}">
              <a16:creationId xmlns:a16="http://schemas.microsoft.com/office/drawing/2014/main" id="{00000000-0008-0000-0100-00000D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74" name="Text Box 3">
          <a:extLst>
            <a:ext uri="{FF2B5EF4-FFF2-40B4-BE49-F238E27FC236}">
              <a16:creationId xmlns:a16="http://schemas.microsoft.com/office/drawing/2014/main" id="{00000000-0008-0000-0100-00000E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75" name="Text Box 32">
          <a:extLst>
            <a:ext uri="{FF2B5EF4-FFF2-40B4-BE49-F238E27FC236}">
              <a16:creationId xmlns:a16="http://schemas.microsoft.com/office/drawing/2014/main" id="{00000000-0008-0000-0100-00000F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76" name="Text Box 3">
          <a:extLst>
            <a:ext uri="{FF2B5EF4-FFF2-40B4-BE49-F238E27FC236}">
              <a16:creationId xmlns:a16="http://schemas.microsoft.com/office/drawing/2014/main" id="{00000000-0008-0000-0100-000010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77" name="Text Box 63">
          <a:extLst>
            <a:ext uri="{FF2B5EF4-FFF2-40B4-BE49-F238E27FC236}">
              <a16:creationId xmlns:a16="http://schemas.microsoft.com/office/drawing/2014/main" id="{00000000-0008-0000-0100-000011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78" name="Text Box 3">
          <a:extLst>
            <a:ext uri="{FF2B5EF4-FFF2-40B4-BE49-F238E27FC236}">
              <a16:creationId xmlns:a16="http://schemas.microsoft.com/office/drawing/2014/main" id="{00000000-0008-0000-0100-000012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79" name="Text Box 32">
          <a:extLst>
            <a:ext uri="{FF2B5EF4-FFF2-40B4-BE49-F238E27FC236}">
              <a16:creationId xmlns:a16="http://schemas.microsoft.com/office/drawing/2014/main" id="{00000000-0008-0000-0100-000013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80" name="Text Box 3">
          <a:extLst>
            <a:ext uri="{FF2B5EF4-FFF2-40B4-BE49-F238E27FC236}">
              <a16:creationId xmlns:a16="http://schemas.microsoft.com/office/drawing/2014/main" id="{00000000-0008-0000-0100-000014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81" name="Text Box 63">
          <a:extLst>
            <a:ext uri="{FF2B5EF4-FFF2-40B4-BE49-F238E27FC236}">
              <a16:creationId xmlns:a16="http://schemas.microsoft.com/office/drawing/2014/main" id="{00000000-0008-0000-0100-000015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82" name="Text Box 3">
          <a:extLst>
            <a:ext uri="{FF2B5EF4-FFF2-40B4-BE49-F238E27FC236}">
              <a16:creationId xmlns:a16="http://schemas.microsoft.com/office/drawing/2014/main" id="{00000000-0008-0000-0100-000016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83" name="Text Box 32">
          <a:extLst>
            <a:ext uri="{FF2B5EF4-FFF2-40B4-BE49-F238E27FC236}">
              <a16:creationId xmlns:a16="http://schemas.microsoft.com/office/drawing/2014/main" id="{00000000-0008-0000-0100-000017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84" name="Text Box 3">
          <a:extLst>
            <a:ext uri="{FF2B5EF4-FFF2-40B4-BE49-F238E27FC236}">
              <a16:creationId xmlns:a16="http://schemas.microsoft.com/office/drawing/2014/main" id="{00000000-0008-0000-0100-000018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85" name="Text Box 63">
          <a:extLst>
            <a:ext uri="{FF2B5EF4-FFF2-40B4-BE49-F238E27FC236}">
              <a16:creationId xmlns:a16="http://schemas.microsoft.com/office/drawing/2014/main" id="{00000000-0008-0000-0100-000019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86" name="Text Box 3">
          <a:extLst>
            <a:ext uri="{FF2B5EF4-FFF2-40B4-BE49-F238E27FC236}">
              <a16:creationId xmlns:a16="http://schemas.microsoft.com/office/drawing/2014/main" id="{00000000-0008-0000-0100-00001A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87" name="Text Box 32">
          <a:extLst>
            <a:ext uri="{FF2B5EF4-FFF2-40B4-BE49-F238E27FC236}">
              <a16:creationId xmlns:a16="http://schemas.microsoft.com/office/drawing/2014/main" id="{00000000-0008-0000-0100-00001B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88" name="Text Box 3">
          <a:extLst>
            <a:ext uri="{FF2B5EF4-FFF2-40B4-BE49-F238E27FC236}">
              <a16:creationId xmlns:a16="http://schemas.microsoft.com/office/drawing/2014/main" id="{00000000-0008-0000-0100-00001C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89" name="Text Box 63">
          <a:extLst>
            <a:ext uri="{FF2B5EF4-FFF2-40B4-BE49-F238E27FC236}">
              <a16:creationId xmlns:a16="http://schemas.microsoft.com/office/drawing/2014/main" id="{00000000-0008-0000-0100-00001D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90" name="Text Box 3">
          <a:extLst>
            <a:ext uri="{FF2B5EF4-FFF2-40B4-BE49-F238E27FC236}">
              <a16:creationId xmlns:a16="http://schemas.microsoft.com/office/drawing/2014/main" id="{00000000-0008-0000-0100-00001E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91" name="Text Box 32">
          <a:extLst>
            <a:ext uri="{FF2B5EF4-FFF2-40B4-BE49-F238E27FC236}">
              <a16:creationId xmlns:a16="http://schemas.microsoft.com/office/drawing/2014/main" id="{00000000-0008-0000-0100-00001F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92" name="Text Box 3">
          <a:extLst>
            <a:ext uri="{FF2B5EF4-FFF2-40B4-BE49-F238E27FC236}">
              <a16:creationId xmlns:a16="http://schemas.microsoft.com/office/drawing/2014/main" id="{00000000-0008-0000-0100-000020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93" name="Text Box 63">
          <a:extLst>
            <a:ext uri="{FF2B5EF4-FFF2-40B4-BE49-F238E27FC236}">
              <a16:creationId xmlns:a16="http://schemas.microsoft.com/office/drawing/2014/main" id="{00000000-0008-0000-0100-000021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94" name="Text Box 3">
          <a:extLst>
            <a:ext uri="{FF2B5EF4-FFF2-40B4-BE49-F238E27FC236}">
              <a16:creationId xmlns:a16="http://schemas.microsoft.com/office/drawing/2014/main" id="{00000000-0008-0000-0100-000022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95" name="Text Box 32">
          <a:extLst>
            <a:ext uri="{FF2B5EF4-FFF2-40B4-BE49-F238E27FC236}">
              <a16:creationId xmlns:a16="http://schemas.microsoft.com/office/drawing/2014/main" id="{00000000-0008-0000-0100-000023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96" name="Text Box 3">
          <a:extLst>
            <a:ext uri="{FF2B5EF4-FFF2-40B4-BE49-F238E27FC236}">
              <a16:creationId xmlns:a16="http://schemas.microsoft.com/office/drawing/2014/main" id="{00000000-0008-0000-0100-000024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97" name="Text Box 63">
          <a:extLst>
            <a:ext uri="{FF2B5EF4-FFF2-40B4-BE49-F238E27FC236}">
              <a16:creationId xmlns:a16="http://schemas.microsoft.com/office/drawing/2014/main" id="{00000000-0008-0000-0100-000025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598" name="Text Box 3">
          <a:extLst>
            <a:ext uri="{FF2B5EF4-FFF2-40B4-BE49-F238E27FC236}">
              <a16:creationId xmlns:a16="http://schemas.microsoft.com/office/drawing/2014/main" id="{00000000-0008-0000-0100-000026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599" name="Text Box 32">
          <a:extLst>
            <a:ext uri="{FF2B5EF4-FFF2-40B4-BE49-F238E27FC236}">
              <a16:creationId xmlns:a16="http://schemas.microsoft.com/office/drawing/2014/main" id="{00000000-0008-0000-0100-000027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00" name="Text Box 3">
          <a:extLst>
            <a:ext uri="{FF2B5EF4-FFF2-40B4-BE49-F238E27FC236}">
              <a16:creationId xmlns:a16="http://schemas.microsoft.com/office/drawing/2014/main" id="{00000000-0008-0000-0100-000028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01" name="Text Box 63">
          <a:extLst>
            <a:ext uri="{FF2B5EF4-FFF2-40B4-BE49-F238E27FC236}">
              <a16:creationId xmlns:a16="http://schemas.microsoft.com/office/drawing/2014/main" id="{00000000-0008-0000-0100-000029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02" name="Text Box 3">
          <a:extLst>
            <a:ext uri="{FF2B5EF4-FFF2-40B4-BE49-F238E27FC236}">
              <a16:creationId xmlns:a16="http://schemas.microsoft.com/office/drawing/2014/main" id="{00000000-0008-0000-0100-00002A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03" name="Text Box 32">
          <a:extLst>
            <a:ext uri="{FF2B5EF4-FFF2-40B4-BE49-F238E27FC236}">
              <a16:creationId xmlns:a16="http://schemas.microsoft.com/office/drawing/2014/main" id="{00000000-0008-0000-0100-00002B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04" name="Text Box 3">
          <a:extLst>
            <a:ext uri="{FF2B5EF4-FFF2-40B4-BE49-F238E27FC236}">
              <a16:creationId xmlns:a16="http://schemas.microsoft.com/office/drawing/2014/main" id="{00000000-0008-0000-0100-00002C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05" name="Text Box 63">
          <a:extLst>
            <a:ext uri="{FF2B5EF4-FFF2-40B4-BE49-F238E27FC236}">
              <a16:creationId xmlns:a16="http://schemas.microsoft.com/office/drawing/2014/main" id="{00000000-0008-0000-0100-00002D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06" name="Text Box 3">
          <a:extLst>
            <a:ext uri="{FF2B5EF4-FFF2-40B4-BE49-F238E27FC236}">
              <a16:creationId xmlns:a16="http://schemas.microsoft.com/office/drawing/2014/main" id="{00000000-0008-0000-0100-00002E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07" name="Text Box 32">
          <a:extLst>
            <a:ext uri="{FF2B5EF4-FFF2-40B4-BE49-F238E27FC236}">
              <a16:creationId xmlns:a16="http://schemas.microsoft.com/office/drawing/2014/main" id="{00000000-0008-0000-0100-00002F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08" name="Text Box 3">
          <a:extLst>
            <a:ext uri="{FF2B5EF4-FFF2-40B4-BE49-F238E27FC236}">
              <a16:creationId xmlns:a16="http://schemas.microsoft.com/office/drawing/2014/main" id="{00000000-0008-0000-0100-000030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09" name="Text Box 63">
          <a:extLst>
            <a:ext uri="{FF2B5EF4-FFF2-40B4-BE49-F238E27FC236}">
              <a16:creationId xmlns:a16="http://schemas.microsoft.com/office/drawing/2014/main" id="{00000000-0008-0000-0100-000031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10" name="Text Box 3">
          <a:extLst>
            <a:ext uri="{FF2B5EF4-FFF2-40B4-BE49-F238E27FC236}">
              <a16:creationId xmlns:a16="http://schemas.microsoft.com/office/drawing/2014/main" id="{00000000-0008-0000-0100-000032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11" name="Text Box 32">
          <a:extLst>
            <a:ext uri="{FF2B5EF4-FFF2-40B4-BE49-F238E27FC236}">
              <a16:creationId xmlns:a16="http://schemas.microsoft.com/office/drawing/2014/main" id="{00000000-0008-0000-0100-000033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12" name="Text Box 3">
          <a:extLst>
            <a:ext uri="{FF2B5EF4-FFF2-40B4-BE49-F238E27FC236}">
              <a16:creationId xmlns:a16="http://schemas.microsoft.com/office/drawing/2014/main" id="{00000000-0008-0000-0100-000034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13" name="Text Box 63">
          <a:extLst>
            <a:ext uri="{FF2B5EF4-FFF2-40B4-BE49-F238E27FC236}">
              <a16:creationId xmlns:a16="http://schemas.microsoft.com/office/drawing/2014/main" id="{00000000-0008-0000-0100-000035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14" name="Text Box 3">
          <a:extLst>
            <a:ext uri="{FF2B5EF4-FFF2-40B4-BE49-F238E27FC236}">
              <a16:creationId xmlns:a16="http://schemas.microsoft.com/office/drawing/2014/main" id="{00000000-0008-0000-0100-000036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15" name="Text Box 32">
          <a:extLst>
            <a:ext uri="{FF2B5EF4-FFF2-40B4-BE49-F238E27FC236}">
              <a16:creationId xmlns:a16="http://schemas.microsoft.com/office/drawing/2014/main" id="{00000000-0008-0000-0100-000037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16" name="Text Box 3">
          <a:extLst>
            <a:ext uri="{FF2B5EF4-FFF2-40B4-BE49-F238E27FC236}">
              <a16:creationId xmlns:a16="http://schemas.microsoft.com/office/drawing/2014/main" id="{00000000-0008-0000-0100-000038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17" name="Text Box 63">
          <a:extLst>
            <a:ext uri="{FF2B5EF4-FFF2-40B4-BE49-F238E27FC236}">
              <a16:creationId xmlns:a16="http://schemas.microsoft.com/office/drawing/2014/main" id="{00000000-0008-0000-0100-000039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18" name="Text Box 3">
          <a:extLst>
            <a:ext uri="{FF2B5EF4-FFF2-40B4-BE49-F238E27FC236}">
              <a16:creationId xmlns:a16="http://schemas.microsoft.com/office/drawing/2014/main" id="{00000000-0008-0000-0100-00003A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19" name="Text Box 32">
          <a:extLst>
            <a:ext uri="{FF2B5EF4-FFF2-40B4-BE49-F238E27FC236}">
              <a16:creationId xmlns:a16="http://schemas.microsoft.com/office/drawing/2014/main" id="{00000000-0008-0000-0100-00003B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20" name="Text Box 3">
          <a:extLst>
            <a:ext uri="{FF2B5EF4-FFF2-40B4-BE49-F238E27FC236}">
              <a16:creationId xmlns:a16="http://schemas.microsoft.com/office/drawing/2014/main" id="{00000000-0008-0000-0100-00003C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21" name="Text Box 63">
          <a:extLst>
            <a:ext uri="{FF2B5EF4-FFF2-40B4-BE49-F238E27FC236}">
              <a16:creationId xmlns:a16="http://schemas.microsoft.com/office/drawing/2014/main" id="{00000000-0008-0000-0100-00003D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22" name="Text Box 3">
          <a:extLst>
            <a:ext uri="{FF2B5EF4-FFF2-40B4-BE49-F238E27FC236}">
              <a16:creationId xmlns:a16="http://schemas.microsoft.com/office/drawing/2014/main" id="{00000000-0008-0000-0100-00003E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23" name="Text Box 32">
          <a:extLst>
            <a:ext uri="{FF2B5EF4-FFF2-40B4-BE49-F238E27FC236}">
              <a16:creationId xmlns:a16="http://schemas.microsoft.com/office/drawing/2014/main" id="{00000000-0008-0000-0100-00003F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24" name="Text Box 3">
          <a:extLst>
            <a:ext uri="{FF2B5EF4-FFF2-40B4-BE49-F238E27FC236}">
              <a16:creationId xmlns:a16="http://schemas.microsoft.com/office/drawing/2014/main" id="{00000000-0008-0000-0100-000040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25" name="Text Box 63">
          <a:extLst>
            <a:ext uri="{FF2B5EF4-FFF2-40B4-BE49-F238E27FC236}">
              <a16:creationId xmlns:a16="http://schemas.microsoft.com/office/drawing/2014/main" id="{00000000-0008-0000-0100-000041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26" name="Text Box 3">
          <a:extLst>
            <a:ext uri="{FF2B5EF4-FFF2-40B4-BE49-F238E27FC236}">
              <a16:creationId xmlns:a16="http://schemas.microsoft.com/office/drawing/2014/main" id="{00000000-0008-0000-0100-000042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27" name="Text Box 32">
          <a:extLst>
            <a:ext uri="{FF2B5EF4-FFF2-40B4-BE49-F238E27FC236}">
              <a16:creationId xmlns:a16="http://schemas.microsoft.com/office/drawing/2014/main" id="{00000000-0008-0000-0100-000043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28" name="Text Box 3">
          <a:extLst>
            <a:ext uri="{FF2B5EF4-FFF2-40B4-BE49-F238E27FC236}">
              <a16:creationId xmlns:a16="http://schemas.microsoft.com/office/drawing/2014/main" id="{00000000-0008-0000-0100-000044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29" name="Text Box 63">
          <a:extLst>
            <a:ext uri="{FF2B5EF4-FFF2-40B4-BE49-F238E27FC236}">
              <a16:creationId xmlns:a16="http://schemas.microsoft.com/office/drawing/2014/main" id="{00000000-0008-0000-0100-000045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30" name="Text Box 3">
          <a:extLst>
            <a:ext uri="{FF2B5EF4-FFF2-40B4-BE49-F238E27FC236}">
              <a16:creationId xmlns:a16="http://schemas.microsoft.com/office/drawing/2014/main" id="{00000000-0008-0000-0100-000046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31" name="Text Box 32">
          <a:extLst>
            <a:ext uri="{FF2B5EF4-FFF2-40B4-BE49-F238E27FC236}">
              <a16:creationId xmlns:a16="http://schemas.microsoft.com/office/drawing/2014/main" id="{00000000-0008-0000-0100-000047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32" name="Text Box 3">
          <a:extLst>
            <a:ext uri="{FF2B5EF4-FFF2-40B4-BE49-F238E27FC236}">
              <a16:creationId xmlns:a16="http://schemas.microsoft.com/office/drawing/2014/main" id="{00000000-0008-0000-0100-000048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33" name="Text Box 63">
          <a:extLst>
            <a:ext uri="{FF2B5EF4-FFF2-40B4-BE49-F238E27FC236}">
              <a16:creationId xmlns:a16="http://schemas.microsoft.com/office/drawing/2014/main" id="{00000000-0008-0000-0100-000049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34" name="Text Box 3">
          <a:extLst>
            <a:ext uri="{FF2B5EF4-FFF2-40B4-BE49-F238E27FC236}">
              <a16:creationId xmlns:a16="http://schemas.microsoft.com/office/drawing/2014/main" id="{00000000-0008-0000-0100-00004A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35" name="Text Box 32">
          <a:extLst>
            <a:ext uri="{FF2B5EF4-FFF2-40B4-BE49-F238E27FC236}">
              <a16:creationId xmlns:a16="http://schemas.microsoft.com/office/drawing/2014/main" id="{00000000-0008-0000-0100-00004B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36" name="Text Box 3">
          <a:extLst>
            <a:ext uri="{FF2B5EF4-FFF2-40B4-BE49-F238E27FC236}">
              <a16:creationId xmlns:a16="http://schemas.microsoft.com/office/drawing/2014/main" id="{00000000-0008-0000-0100-00004C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37" name="Text Box 63">
          <a:extLst>
            <a:ext uri="{FF2B5EF4-FFF2-40B4-BE49-F238E27FC236}">
              <a16:creationId xmlns:a16="http://schemas.microsoft.com/office/drawing/2014/main" id="{00000000-0008-0000-0100-00004D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38" name="Text Box 3">
          <a:extLst>
            <a:ext uri="{FF2B5EF4-FFF2-40B4-BE49-F238E27FC236}">
              <a16:creationId xmlns:a16="http://schemas.microsoft.com/office/drawing/2014/main" id="{00000000-0008-0000-0100-00004E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39" name="Text Box 32">
          <a:extLst>
            <a:ext uri="{FF2B5EF4-FFF2-40B4-BE49-F238E27FC236}">
              <a16:creationId xmlns:a16="http://schemas.microsoft.com/office/drawing/2014/main" id="{00000000-0008-0000-0100-00004F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40" name="Text Box 3">
          <a:extLst>
            <a:ext uri="{FF2B5EF4-FFF2-40B4-BE49-F238E27FC236}">
              <a16:creationId xmlns:a16="http://schemas.microsoft.com/office/drawing/2014/main" id="{00000000-0008-0000-0100-000050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41" name="Text Box 63">
          <a:extLst>
            <a:ext uri="{FF2B5EF4-FFF2-40B4-BE49-F238E27FC236}">
              <a16:creationId xmlns:a16="http://schemas.microsoft.com/office/drawing/2014/main" id="{00000000-0008-0000-0100-000051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42" name="Text Box 3">
          <a:extLst>
            <a:ext uri="{FF2B5EF4-FFF2-40B4-BE49-F238E27FC236}">
              <a16:creationId xmlns:a16="http://schemas.microsoft.com/office/drawing/2014/main" id="{00000000-0008-0000-0100-000052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43" name="Text Box 32">
          <a:extLst>
            <a:ext uri="{FF2B5EF4-FFF2-40B4-BE49-F238E27FC236}">
              <a16:creationId xmlns:a16="http://schemas.microsoft.com/office/drawing/2014/main" id="{00000000-0008-0000-0100-000053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44" name="Text Box 3">
          <a:extLst>
            <a:ext uri="{FF2B5EF4-FFF2-40B4-BE49-F238E27FC236}">
              <a16:creationId xmlns:a16="http://schemas.microsoft.com/office/drawing/2014/main" id="{00000000-0008-0000-0100-000054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45" name="Text Box 63">
          <a:extLst>
            <a:ext uri="{FF2B5EF4-FFF2-40B4-BE49-F238E27FC236}">
              <a16:creationId xmlns:a16="http://schemas.microsoft.com/office/drawing/2014/main" id="{00000000-0008-0000-0100-000055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46" name="Text Box 3">
          <a:extLst>
            <a:ext uri="{FF2B5EF4-FFF2-40B4-BE49-F238E27FC236}">
              <a16:creationId xmlns:a16="http://schemas.microsoft.com/office/drawing/2014/main" id="{00000000-0008-0000-0100-000056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47" name="Text Box 32">
          <a:extLst>
            <a:ext uri="{FF2B5EF4-FFF2-40B4-BE49-F238E27FC236}">
              <a16:creationId xmlns:a16="http://schemas.microsoft.com/office/drawing/2014/main" id="{00000000-0008-0000-0100-000057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48" name="Text Box 3">
          <a:extLst>
            <a:ext uri="{FF2B5EF4-FFF2-40B4-BE49-F238E27FC236}">
              <a16:creationId xmlns:a16="http://schemas.microsoft.com/office/drawing/2014/main" id="{00000000-0008-0000-0100-000058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49" name="Text Box 63">
          <a:extLst>
            <a:ext uri="{FF2B5EF4-FFF2-40B4-BE49-F238E27FC236}">
              <a16:creationId xmlns:a16="http://schemas.microsoft.com/office/drawing/2014/main" id="{00000000-0008-0000-0100-000059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50" name="Text Box 3">
          <a:extLst>
            <a:ext uri="{FF2B5EF4-FFF2-40B4-BE49-F238E27FC236}">
              <a16:creationId xmlns:a16="http://schemas.microsoft.com/office/drawing/2014/main" id="{00000000-0008-0000-0100-00005A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51" name="Text Box 32">
          <a:extLst>
            <a:ext uri="{FF2B5EF4-FFF2-40B4-BE49-F238E27FC236}">
              <a16:creationId xmlns:a16="http://schemas.microsoft.com/office/drawing/2014/main" id="{00000000-0008-0000-0100-00005B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52" name="Text Box 3">
          <a:extLst>
            <a:ext uri="{FF2B5EF4-FFF2-40B4-BE49-F238E27FC236}">
              <a16:creationId xmlns:a16="http://schemas.microsoft.com/office/drawing/2014/main" id="{00000000-0008-0000-0100-00005C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53" name="Text Box 63">
          <a:extLst>
            <a:ext uri="{FF2B5EF4-FFF2-40B4-BE49-F238E27FC236}">
              <a16:creationId xmlns:a16="http://schemas.microsoft.com/office/drawing/2014/main" id="{00000000-0008-0000-0100-00005D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54" name="Text Box 3">
          <a:extLst>
            <a:ext uri="{FF2B5EF4-FFF2-40B4-BE49-F238E27FC236}">
              <a16:creationId xmlns:a16="http://schemas.microsoft.com/office/drawing/2014/main" id="{00000000-0008-0000-0100-00005E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55" name="Text Box 32">
          <a:extLst>
            <a:ext uri="{FF2B5EF4-FFF2-40B4-BE49-F238E27FC236}">
              <a16:creationId xmlns:a16="http://schemas.microsoft.com/office/drawing/2014/main" id="{00000000-0008-0000-0100-00005F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56" name="Text Box 3">
          <a:extLst>
            <a:ext uri="{FF2B5EF4-FFF2-40B4-BE49-F238E27FC236}">
              <a16:creationId xmlns:a16="http://schemas.microsoft.com/office/drawing/2014/main" id="{00000000-0008-0000-0100-000060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57" name="Text Box 63">
          <a:extLst>
            <a:ext uri="{FF2B5EF4-FFF2-40B4-BE49-F238E27FC236}">
              <a16:creationId xmlns:a16="http://schemas.microsoft.com/office/drawing/2014/main" id="{00000000-0008-0000-0100-000061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58" name="Text Box 3">
          <a:extLst>
            <a:ext uri="{FF2B5EF4-FFF2-40B4-BE49-F238E27FC236}">
              <a16:creationId xmlns:a16="http://schemas.microsoft.com/office/drawing/2014/main" id="{00000000-0008-0000-0100-000062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59" name="Text Box 32">
          <a:extLst>
            <a:ext uri="{FF2B5EF4-FFF2-40B4-BE49-F238E27FC236}">
              <a16:creationId xmlns:a16="http://schemas.microsoft.com/office/drawing/2014/main" id="{00000000-0008-0000-0100-000063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60" name="Text Box 3">
          <a:extLst>
            <a:ext uri="{FF2B5EF4-FFF2-40B4-BE49-F238E27FC236}">
              <a16:creationId xmlns:a16="http://schemas.microsoft.com/office/drawing/2014/main" id="{00000000-0008-0000-0100-000064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61" name="Text Box 63">
          <a:extLst>
            <a:ext uri="{FF2B5EF4-FFF2-40B4-BE49-F238E27FC236}">
              <a16:creationId xmlns:a16="http://schemas.microsoft.com/office/drawing/2014/main" id="{00000000-0008-0000-0100-000065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62" name="Text Box 3">
          <a:extLst>
            <a:ext uri="{FF2B5EF4-FFF2-40B4-BE49-F238E27FC236}">
              <a16:creationId xmlns:a16="http://schemas.microsoft.com/office/drawing/2014/main" id="{00000000-0008-0000-0100-000066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63" name="Text Box 32">
          <a:extLst>
            <a:ext uri="{FF2B5EF4-FFF2-40B4-BE49-F238E27FC236}">
              <a16:creationId xmlns:a16="http://schemas.microsoft.com/office/drawing/2014/main" id="{00000000-0008-0000-0100-000067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64" name="Text Box 3">
          <a:extLst>
            <a:ext uri="{FF2B5EF4-FFF2-40B4-BE49-F238E27FC236}">
              <a16:creationId xmlns:a16="http://schemas.microsoft.com/office/drawing/2014/main" id="{00000000-0008-0000-0100-000068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65" name="Text Box 63">
          <a:extLst>
            <a:ext uri="{FF2B5EF4-FFF2-40B4-BE49-F238E27FC236}">
              <a16:creationId xmlns:a16="http://schemas.microsoft.com/office/drawing/2014/main" id="{00000000-0008-0000-0100-000069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66" name="Text Box 3">
          <a:extLst>
            <a:ext uri="{FF2B5EF4-FFF2-40B4-BE49-F238E27FC236}">
              <a16:creationId xmlns:a16="http://schemas.microsoft.com/office/drawing/2014/main" id="{00000000-0008-0000-0100-00006A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67" name="Text Box 32">
          <a:extLst>
            <a:ext uri="{FF2B5EF4-FFF2-40B4-BE49-F238E27FC236}">
              <a16:creationId xmlns:a16="http://schemas.microsoft.com/office/drawing/2014/main" id="{00000000-0008-0000-0100-00006B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68" name="Text Box 3">
          <a:extLst>
            <a:ext uri="{FF2B5EF4-FFF2-40B4-BE49-F238E27FC236}">
              <a16:creationId xmlns:a16="http://schemas.microsoft.com/office/drawing/2014/main" id="{00000000-0008-0000-0100-00006C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69" name="Text Box 63">
          <a:extLst>
            <a:ext uri="{FF2B5EF4-FFF2-40B4-BE49-F238E27FC236}">
              <a16:creationId xmlns:a16="http://schemas.microsoft.com/office/drawing/2014/main" id="{00000000-0008-0000-0100-00006D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70" name="Text Box 3">
          <a:extLst>
            <a:ext uri="{FF2B5EF4-FFF2-40B4-BE49-F238E27FC236}">
              <a16:creationId xmlns:a16="http://schemas.microsoft.com/office/drawing/2014/main" id="{00000000-0008-0000-0100-00006E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71" name="Text Box 32">
          <a:extLst>
            <a:ext uri="{FF2B5EF4-FFF2-40B4-BE49-F238E27FC236}">
              <a16:creationId xmlns:a16="http://schemas.microsoft.com/office/drawing/2014/main" id="{00000000-0008-0000-0100-00006F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72" name="Text Box 3">
          <a:extLst>
            <a:ext uri="{FF2B5EF4-FFF2-40B4-BE49-F238E27FC236}">
              <a16:creationId xmlns:a16="http://schemas.microsoft.com/office/drawing/2014/main" id="{00000000-0008-0000-0100-000070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73" name="Text Box 63">
          <a:extLst>
            <a:ext uri="{FF2B5EF4-FFF2-40B4-BE49-F238E27FC236}">
              <a16:creationId xmlns:a16="http://schemas.microsoft.com/office/drawing/2014/main" id="{00000000-0008-0000-0100-000071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74" name="Text Box 3">
          <a:extLst>
            <a:ext uri="{FF2B5EF4-FFF2-40B4-BE49-F238E27FC236}">
              <a16:creationId xmlns:a16="http://schemas.microsoft.com/office/drawing/2014/main" id="{00000000-0008-0000-0100-000072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75" name="Text Box 32">
          <a:extLst>
            <a:ext uri="{FF2B5EF4-FFF2-40B4-BE49-F238E27FC236}">
              <a16:creationId xmlns:a16="http://schemas.microsoft.com/office/drawing/2014/main" id="{00000000-0008-0000-0100-000073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76" name="Text Box 3">
          <a:extLst>
            <a:ext uri="{FF2B5EF4-FFF2-40B4-BE49-F238E27FC236}">
              <a16:creationId xmlns:a16="http://schemas.microsoft.com/office/drawing/2014/main" id="{00000000-0008-0000-0100-000074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77" name="Text Box 63">
          <a:extLst>
            <a:ext uri="{FF2B5EF4-FFF2-40B4-BE49-F238E27FC236}">
              <a16:creationId xmlns:a16="http://schemas.microsoft.com/office/drawing/2014/main" id="{00000000-0008-0000-0100-000075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78" name="Text Box 3">
          <a:extLst>
            <a:ext uri="{FF2B5EF4-FFF2-40B4-BE49-F238E27FC236}">
              <a16:creationId xmlns:a16="http://schemas.microsoft.com/office/drawing/2014/main" id="{00000000-0008-0000-0100-000076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79" name="Text Box 32">
          <a:extLst>
            <a:ext uri="{FF2B5EF4-FFF2-40B4-BE49-F238E27FC236}">
              <a16:creationId xmlns:a16="http://schemas.microsoft.com/office/drawing/2014/main" id="{00000000-0008-0000-0100-000077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80" name="Text Box 3">
          <a:extLst>
            <a:ext uri="{FF2B5EF4-FFF2-40B4-BE49-F238E27FC236}">
              <a16:creationId xmlns:a16="http://schemas.microsoft.com/office/drawing/2014/main" id="{00000000-0008-0000-0100-000078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81" name="Text Box 63">
          <a:extLst>
            <a:ext uri="{FF2B5EF4-FFF2-40B4-BE49-F238E27FC236}">
              <a16:creationId xmlns:a16="http://schemas.microsoft.com/office/drawing/2014/main" id="{00000000-0008-0000-0100-000079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82" name="Text Box 3">
          <a:extLst>
            <a:ext uri="{FF2B5EF4-FFF2-40B4-BE49-F238E27FC236}">
              <a16:creationId xmlns:a16="http://schemas.microsoft.com/office/drawing/2014/main" id="{00000000-0008-0000-0100-00007A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83" name="Text Box 32">
          <a:extLst>
            <a:ext uri="{FF2B5EF4-FFF2-40B4-BE49-F238E27FC236}">
              <a16:creationId xmlns:a16="http://schemas.microsoft.com/office/drawing/2014/main" id="{00000000-0008-0000-0100-00007B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84" name="Text Box 3">
          <a:extLst>
            <a:ext uri="{FF2B5EF4-FFF2-40B4-BE49-F238E27FC236}">
              <a16:creationId xmlns:a16="http://schemas.microsoft.com/office/drawing/2014/main" id="{00000000-0008-0000-0100-00007C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85" name="Text Box 63">
          <a:extLst>
            <a:ext uri="{FF2B5EF4-FFF2-40B4-BE49-F238E27FC236}">
              <a16:creationId xmlns:a16="http://schemas.microsoft.com/office/drawing/2014/main" id="{00000000-0008-0000-0100-00007D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86" name="Text Box 3">
          <a:extLst>
            <a:ext uri="{FF2B5EF4-FFF2-40B4-BE49-F238E27FC236}">
              <a16:creationId xmlns:a16="http://schemas.microsoft.com/office/drawing/2014/main" id="{00000000-0008-0000-0100-00007E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87" name="Text Box 32">
          <a:extLst>
            <a:ext uri="{FF2B5EF4-FFF2-40B4-BE49-F238E27FC236}">
              <a16:creationId xmlns:a16="http://schemas.microsoft.com/office/drawing/2014/main" id="{00000000-0008-0000-0100-00007F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88" name="Text Box 3">
          <a:extLst>
            <a:ext uri="{FF2B5EF4-FFF2-40B4-BE49-F238E27FC236}">
              <a16:creationId xmlns:a16="http://schemas.microsoft.com/office/drawing/2014/main" id="{00000000-0008-0000-0100-000080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89" name="Text Box 63">
          <a:extLst>
            <a:ext uri="{FF2B5EF4-FFF2-40B4-BE49-F238E27FC236}">
              <a16:creationId xmlns:a16="http://schemas.microsoft.com/office/drawing/2014/main" id="{00000000-0008-0000-0100-000081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90" name="Text Box 3">
          <a:extLst>
            <a:ext uri="{FF2B5EF4-FFF2-40B4-BE49-F238E27FC236}">
              <a16:creationId xmlns:a16="http://schemas.microsoft.com/office/drawing/2014/main" id="{00000000-0008-0000-0100-000082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91" name="Text Box 32">
          <a:extLst>
            <a:ext uri="{FF2B5EF4-FFF2-40B4-BE49-F238E27FC236}">
              <a16:creationId xmlns:a16="http://schemas.microsoft.com/office/drawing/2014/main" id="{00000000-0008-0000-0100-000083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92" name="Text Box 3">
          <a:extLst>
            <a:ext uri="{FF2B5EF4-FFF2-40B4-BE49-F238E27FC236}">
              <a16:creationId xmlns:a16="http://schemas.microsoft.com/office/drawing/2014/main" id="{00000000-0008-0000-0100-000084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93" name="Text Box 63">
          <a:extLst>
            <a:ext uri="{FF2B5EF4-FFF2-40B4-BE49-F238E27FC236}">
              <a16:creationId xmlns:a16="http://schemas.microsoft.com/office/drawing/2014/main" id="{00000000-0008-0000-0100-000085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94" name="Text Box 3">
          <a:extLst>
            <a:ext uri="{FF2B5EF4-FFF2-40B4-BE49-F238E27FC236}">
              <a16:creationId xmlns:a16="http://schemas.microsoft.com/office/drawing/2014/main" id="{00000000-0008-0000-0100-000086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95" name="Text Box 32">
          <a:extLst>
            <a:ext uri="{FF2B5EF4-FFF2-40B4-BE49-F238E27FC236}">
              <a16:creationId xmlns:a16="http://schemas.microsoft.com/office/drawing/2014/main" id="{00000000-0008-0000-0100-000087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96" name="Text Box 3">
          <a:extLst>
            <a:ext uri="{FF2B5EF4-FFF2-40B4-BE49-F238E27FC236}">
              <a16:creationId xmlns:a16="http://schemas.microsoft.com/office/drawing/2014/main" id="{00000000-0008-0000-0100-000088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97" name="Text Box 63">
          <a:extLst>
            <a:ext uri="{FF2B5EF4-FFF2-40B4-BE49-F238E27FC236}">
              <a16:creationId xmlns:a16="http://schemas.microsoft.com/office/drawing/2014/main" id="{00000000-0008-0000-0100-000089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698" name="Text Box 32">
          <a:extLst>
            <a:ext uri="{FF2B5EF4-FFF2-40B4-BE49-F238E27FC236}">
              <a16:creationId xmlns:a16="http://schemas.microsoft.com/office/drawing/2014/main" id="{00000000-0008-0000-0100-00008A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699" name="Text Box 3">
          <a:extLst>
            <a:ext uri="{FF2B5EF4-FFF2-40B4-BE49-F238E27FC236}">
              <a16:creationId xmlns:a16="http://schemas.microsoft.com/office/drawing/2014/main" id="{00000000-0008-0000-0100-00008B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00" name="Text Box 63">
          <a:extLst>
            <a:ext uri="{FF2B5EF4-FFF2-40B4-BE49-F238E27FC236}">
              <a16:creationId xmlns:a16="http://schemas.microsoft.com/office/drawing/2014/main" id="{00000000-0008-0000-0100-00008C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01" name="Text Box 3">
          <a:extLst>
            <a:ext uri="{FF2B5EF4-FFF2-40B4-BE49-F238E27FC236}">
              <a16:creationId xmlns:a16="http://schemas.microsoft.com/office/drawing/2014/main" id="{00000000-0008-0000-0100-00008D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02" name="Text Box 32">
          <a:extLst>
            <a:ext uri="{FF2B5EF4-FFF2-40B4-BE49-F238E27FC236}">
              <a16:creationId xmlns:a16="http://schemas.microsoft.com/office/drawing/2014/main" id="{00000000-0008-0000-0100-00008E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03" name="Text Box 3">
          <a:extLst>
            <a:ext uri="{FF2B5EF4-FFF2-40B4-BE49-F238E27FC236}">
              <a16:creationId xmlns:a16="http://schemas.microsoft.com/office/drawing/2014/main" id="{00000000-0008-0000-0100-00008F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04" name="Text Box 63">
          <a:extLst>
            <a:ext uri="{FF2B5EF4-FFF2-40B4-BE49-F238E27FC236}">
              <a16:creationId xmlns:a16="http://schemas.microsoft.com/office/drawing/2014/main" id="{00000000-0008-0000-0100-000090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05" name="Text Box 3">
          <a:extLst>
            <a:ext uri="{FF2B5EF4-FFF2-40B4-BE49-F238E27FC236}">
              <a16:creationId xmlns:a16="http://schemas.microsoft.com/office/drawing/2014/main" id="{00000000-0008-0000-0100-000091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06" name="Text Box 32">
          <a:extLst>
            <a:ext uri="{FF2B5EF4-FFF2-40B4-BE49-F238E27FC236}">
              <a16:creationId xmlns:a16="http://schemas.microsoft.com/office/drawing/2014/main" id="{00000000-0008-0000-0100-000092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07" name="Text Box 3">
          <a:extLst>
            <a:ext uri="{FF2B5EF4-FFF2-40B4-BE49-F238E27FC236}">
              <a16:creationId xmlns:a16="http://schemas.microsoft.com/office/drawing/2014/main" id="{00000000-0008-0000-0100-000093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08" name="Text Box 63">
          <a:extLst>
            <a:ext uri="{FF2B5EF4-FFF2-40B4-BE49-F238E27FC236}">
              <a16:creationId xmlns:a16="http://schemas.microsoft.com/office/drawing/2014/main" id="{00000000-0008-0000-0100-000094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09" name="Text Box 3">
          <a:extLst>
            <a:ext uri="{FF2B5EF4-FFF2-40B4-BE49-F238E27FC236}">
              <a16:creationId xmlns:a16="http://schemas.microsoft.com/office/drawing/2014/main" id="{00000000-0008-0000-0100-000095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10" name="Text Box 32">
          <a:extLst>
            <a:ext uri="{FF2B5EF4-FFF2-40B4-BE49-F238E27FC236}">
              <a16:creationId xmlns:a16="http://schemas.microsoft.com/office/drawing/2014/main" id="{00000000-0008-0000-0100-000096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11" name="Text Box 3">
          <a:extLst>
            <a:ext uri="{FF2B5EF4-FFF2-40B4-BE49-F238E27FC236}">
              <a16:creationId xmlns:a16="http://schemas.microsoft.com/office/drawing/2014/main" id="{00000000-0008-0000-0100-000097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12" name="Text Box 63">
          <a:extLst>
            <a:ext uri="{FF2B5EF4-FFF2-40B4-BE49-F238E27FC236}">
              <a16:creationId xmlns:a16="http://schemas.microsoft.com/office/drawing/2014/main" id="{00000000-0008-0000-0100-000098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13" name="Text Box 3">
          <a:extLst>
            <a:ext uri="{FF2B5EF4-FFF2-40B4-BE49-F238E27FC236}">
              <a16:creationId xmlns:a16="http://schemas.microsoft.com/office/drawing/2014/main" id="{00000000-0008-0000-0100-000099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14" name="Text Box 32">
          <a:extLst>
            <a:ext uri="{FF2B5EF4-FFF2-40B4-BE49-F238E27FC236}">
              <a16:creationId xmlns:a16="http://schemas.microsoft.com/office/drawing/2014/main" id="{00000000-0008-0000-0100-00009A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15" name="Text Box 3">
          <a:extLst>
            <a:ext uri="{FF2B5EF4-FFF2-40B4-BE49-F238E27FC236}">
              <a16:creationId xmlns:a16="http://schemas.microsoft.com/office/drawing/2014/main" id="{00000000-0008-0000-0100-00009B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16" name="Text Box 63">
          <a:extLst>
            <a:ext uri="{FF2B5EF4-FFF2-40B4-BE49-F238E27FC236}">
              <a16:creationId xmlns:a16="http://schemas.microsoft.com/office/drawing/2014/main" id="{00000000-0008-0000-0100-00009C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17" name="Text Box 3">
          <a:extLst>
            <a:ext uri="{FF2B5EF4-FFF2-40B4-BE49-F238E27FC236}">
              <a16:creationId xmlns:a16="http://schemas.microsoft.com/office/drawing/2014/main" id="{00000000-0008-0000-0100-00009D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18" name="Text Box 32">
          <a:extLst>
            <a:ext uri="{FF2B5EF4-FFF2-40B4-BE49-F238E27FC236}">
              <a16:creationId xmlns:a16="http://schemas.microsoft.com/office/drawing/2014/main" id="{00000000-0008-0000-0100-00009E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19" name="Text Box 3">
          <a:extLst>
            <a:ext uri="{FF2B5EF4-FFF2-40B4-BE49-F238E27FC236}">
              <a16:creationId xmlns:a16="http://schemas.microsoft.com/office/drawing/2014/main" id="{00000000-0008-0000-0100-00009F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20" name="Text Box 63">
          <a:extLst>
            <a:ext uri="{FF2B5EF4-FFF2-40B4-BE49-F238E27FC236}">
              <a16:creationId xmlns:a16="http://schemas.microsoft.com/office/drawing/2014/main" id="{00000000-0008-0000-0100-0000A0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21" name="Text Box 3">
          <a:extLst>
            <a:ext uri="{FF2B5EF4-FFF2-40B4-BE49-F238E27FC236}">
              <a16:creationId xmlns:a16="http://schemas.microsoft.com/office/drawing/2014/main" id="{00000000-0008-0000-0100-0000A1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22" name="Text Box 32">
          <a:extLst>
            <a:ext uri="{FF2B5EF4-FFF2-40B4-BE49-F238E27FC236}">
              <a16:creationId xmlns:a16="http://schemas.microsoft.com/office/drawing/2014/main" id="{00000000-0008-0000-0100-0000A2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23" name="Text Box 3">
          <a:extLst>
            <a:ext uri="{FF2B5EF4-FFF2-40B4-BE49-F238E27FC236}">
              <a16:creationId xmlns:a16="http://schemas.microsoft.com/office/drawing/2014/main" id="{00000000-0008-0000-0100-0000A3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24" name="Text Box 63">
          <a:extLst>
            <a:ext uri="{FF2B5EF4-FFF2-40B4-BE49-F238E27FC236}">
              <a16:creationId xmlns:a16="http://schemas.microsoft.com/office/drawing/2014/main" id="{00000000-0008-0000-0100-0000A4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25" name="Text Box 3">
          <a:extLst>
            <a:ext uri="{FF2B5EF4-FFF2-40B4-BE49-F238E27FC236}">
              <a16:creationId xmlns:a16="http://schemas.microsoft.com/office/drawing/2014/main" id="{00000000-0008-0000-0100-0000A5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26" name="Text Box 32">
          <a:extLst>
            <a:ext uri="{FF2B5EF4-FFF2-40B4-BE49-F238E27FC236}">
              <a16:creationId xmlns:a16="http://schemas.microsoft.com/office/drawing/2014/main" id="{00000000-0008-0000-0100-0000A6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27" name="Text Box 3">
          <a:extLst>
            <a:ext uri="{FF2B5EF4-FFF2-40B4-BE49-F238E27FC236}">
              <a16:creationId xmlns:a16="http://schemas.microsoft.com/office/drawing/2014/main" id="{00000000-0008-0000-0100-0000A7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28" name="Text Box 63">
          <a:extLst>
            <a:ext uri="{FF2B5EF4-FFF2-40B4-BE49-F238E27FC236}">
              <a16:creationId xmlns:a16="http://schemas.microsoft.com/office/drawing/2014/main" id="{00000000-0008-0000-0100-0000A8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29" name="Text Box 3">
          <a:extLst>
            <a:ext uri="{FF2B5EF4-FFF2-40B4-BE49-F238E27FC236}">
              <a16:creationId xmlns:a16="http://schemas.microsoft.com/office/drawing/2014/main" id="{00000000-0008-0000-0100-0000A9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30" name="Text Box 32">
          <a:extLst>
            <a:ext uri="{FF2B5EF4-FFF2-40B4-BE49-F238E27FC236}">
              <a16:creationId xmlns:a16="http://schemas.microsoft.com/office/drawing/2014/main" id="{00000000-0008-0000-0100-0000AA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31" name="Text Box 3">
          <a:extLst>
            <a:ext uri="{FF2B5EF4-FFF2-40B4-BE49-F238E27FC236}">
              <a16:creationId xmlns:a16="http://schemas.microsoft.com/office/drawing/2014/main" id="{00000000-0008-0000-0100-0000AB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32" name="Text Box 63">
          <a:extLst>
            <a:ext uri="{FF2B5EF4-FFF2-40B4-BE49-F238E27FC236}">
              <a16:creationId xmlns:a16="http://schemas.microsoft.com/office/drawing/2014/main" id="{00000000-0008-0000-0100-0000AC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33" name="Text Box 3">
          <a:extLst>
            <a:ext uri="{FF2B5EF4-FFF2-40B4-BE49-F238E27FC236}">
              <a16:creationId xmlns:a16="http://schemas.microsoft.com/office/drawing/2014/main" id="{00000000-0008-0000-0100-0000AD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34" name="Text Box 32">
          <a:extLst>
            <a:ext uri="{FF2B5EF4-FFF2-40B4-BE49-F238E27FC236}">
              <a16:creationId xmlns:a16="http://schemas.microsoft.com/office/drawing/2014/main" id="{00000000-0008-0000-0100-0000AE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35" name="Text Box 3">
          <a:extLst>
            <a:ext uri="{FF2B5EF4-FFF2-40B4-BE49-F238E27FC236}">
              <a16:creationId xmlns:a16="http://schemas.microsoft.com/office/drawing/2014/main" id="{00000000-0008-0000-0100-0000AF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36" name="Text Box 63">
          <a:extLst>
            <a:ext uri="{FF2B5EF4-FFF2-40B4-BE49-F238E27FC236}">
              <a16:creationId xmlns:a16="http://schemas.microsoft.com/office/drawing/2014/main" id="{00000000-0008-0000-0100-0000B0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37" name="Text Box 3">
          <a:extLst>
            <a:ext uri="{FF2B5EF4-FFF2-40B4-BE49-F238E27FC236}">
              <a16:creationId xmlns:a16="http://schemas.microsoft.com/office/drawing/2014/main" id="{00000000-0008-0000-0100-0000B1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38" name="Text Box 32">
          <a:extLst>
            <a:ext uri="{FF2B5EF4-FFF2-40B4-BE49-F238E27FC236}">
              <a16:creationId xmlns:a16="http://schemas.microsoft.com/office/drawing/2014/main" id="{00000000-0008-0000-0100-0000B2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39" name="Text Box 3">
          <a:extLst>
            <a:ext uri="{FF2B5EF4-FFF2-40B4-BE49-F238E27FC236}">
              <a16:creationId xmlns:a16="http://schemas.microsoft.com/office/drawing/2014/main" id="{00000000-0008-0000-0100-0000B3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40" name="Text Box 63">
          <a:extLst>
            <a:ext uri="{FF2B5EF4-FFF2-40B4-BE49-F238E27FC236}">
              <a16:creationId xmlns:a16="http://schemas.microsoft.com/office/drawing/2014/main" id="{00000000-0008-0000-0100-0000B4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41" name="Text Box 3">
          <a:extLst>
            <a:ext uri="{FF2B5EF4-FFF2-40B4-BE49-F238E27FC236}">
              <a16:creationId xmlns:a16="http://schemas.microsoft.com/office/drawing/2014/main" id="{00000000-0008-0000-0100-0000B5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42" name="Text Box 32">
          <a:extLst>
            <a:ext uri="{FF2B5EF4-FFF2-40B4-BE49-F238E27FC236}">
              <a16:creationId xmlns:a16="http://schemas.microsoft.com/office/drawing/2014/main" id="{00000000-0008-0000-0100-0000B6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43" name="Text Box 3">
          <a:extLst>
            <a:ext uri="{FF2B5EF4-FFF2-40B4-BE49-F238E27FC236}">
              <a16:creationId xmlns:a16="http://schemas.microsoft.com/office/drawing/2014/main" id="{00000000-0008-0000-0100-0000B7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44" name="Text Box 63">
          <a:extLst>
            <a:ext uri="{FF2B5EF4-FFF2-40B4-BE49-F238E27FC236}">
              <a16:creationId xmlns:a16="http://schemas.microsoft.com/office/drawing/2014/main" id="{00000000-0008-0000-0100-0000B8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45" name="Text Box 3">
          <a:extLst>
            <a:ext uri="{FF2B5EF4-FFF2-40B4-BE49-F238E27FC236}">
              <a16:creationId xmlns:a16="http://schemas.microsoft.com/office/drawing/2014/main" id="{00000000-0008-0000-0100-0000B9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46" name="Text Box 32">
          <a:extLst>
            <a:ext uri="{FF2B5EF4-FFF2-40B4-BE49-F238E27FC236}">
              <a16:creationId xmlns:a16="http://schemas.microsoft.com/office/drawing/2014/main" id="{00000000-0008-0000-0100-0000BA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47" name="Text Box 3">
          <a:extLst>
            <a:ext uri="{FF2B5EF4-FFF2-40B4-BE49-F238E27FC236}">
              <a16:creationId xmlns:a16="http://schemas.microsoft.com/office/drawing/2014/main" id="{00000000-0008-0000-0100-0000BB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48" name="Text Box 63">
          <a:extLst>
            <a:ext uri="{FF2B5EF4-FFF2-40B4-BE49-F238E27FC236}">
              <a16:creationId xmlns:a16="http://schemas.microsoft.com/office/drawing/2014/main" id="{00000000-0008-0000-0100-0000BC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49" name="Text Box 3">
          <a:extLst>
            <a:ext uri="{FF2B5EF4-FFF2-40B4-BE49-F238E27FC236}">
              <a16:creationId xmlns:a16="http://schemas.microsoft.com/office/drawing/2014/main" id="{00000000-0008-0000-0100-0000BD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50" name="Text Box 32">
          <a:extLst>
            <a:ext uri="{FF2B5EF4-FFF2-40B4-BE49-F238E27FC236}">
              <a16:creationId xmlns:a16="http://schemas.microsoft.com/office/drawing/2014/main" id="{00000000-0008-0000-0100-0000BE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51" name="Text Box 3">
          <a:extLst>
            <a:ext uri="{FF2B5EF4-FFF2-40B4-BE49-F238E27FC236}">
              <a16:creationId xmlns:a16="http://schemas.microsoft.com/office/drawing/2014/main" id="{00000000-0008-0000-0100-0000BF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52" name="Text Box 63">
          <a:extLst>
            <a:ext uri="{FF2B5EF4-FFF2-40B4-BE49-F238E27FC236}">
              <a16:creationId xmlns:a16="http://schemas.microsoft.com/office/drawing/2014/main" id="{00000000-0008-0000-0100-0000C0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53" name="Text Box 3">
          <a:extLst>
            <a:ext uri="{FF2B5EF4-FFF2-40B4-BE49-F238E27FC236}">
              <a16:creationId xmlns:a16="http://schemas.microsoft.com/office/drawing/2014/main" id="{00000000-0008-0000-0100-0000C1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54" name="Text Box 32">
          <a:extLst>
            <a:ext uri="{FF2B5EF4-FFF2-40B4-BE49-F238E27FC236}">
              <a16:creationId xmlns:a16="http://schemas.microsoft.com/office/drawing/2014/main" id="{00000000-0008-0000-0100-0000C2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55" name="Text Box 3">
          <a:extLst>
            <a:ext uri="{FF2B5EF4-FFF2-40B4-BE49-F238E27FC236}">
              <a16:creationId xmlns:a16="http://schemas.microsoft.com/office/drawing/2014/main" id="{00000000-0008-0000-0100-0000C3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56" name="Text Box 63">
          <a:extLst>
            <a:ext uri="{FF2B5EF4-FFF2-40B4-BE49-F238E27FC236}">
              <a16:creationId xmlns:a16="http://schemas.microsoft.com/office/drawing/2014/main" id="{00000000-0008-0000-0100-0000C4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57" name="Text Box 3">
          <a:extLst>
            <a:ext uri="{FF2B5EF4-FFF2-40B4-BE49-F238E27FC236}">
              <a16:creationId xmlns:a16="http://schemas.microsoft.com/office/drawing/2014/main" id="{00000000-0008-0000-0100-0000C5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58" name="Text Box 32">
          <a:extLst>
            <a:ext uri="{FF2B5EF4-FFF2-40B4-BE49-F238E27FC236}">
              <a16:creationId xmlns:a16="http://schemas.microsoft.com/office/drawing/2014/main" id="{00000000-0008-0000-0100-0000C6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59" name="Text Box 3">
          <a:extLst>
            <a:ext uri="{FF2B5EF4-FFF2-40B4-BE49-F238E27FC236}">
              <a16:creationId xmlns:a16="http://schemas.microsoft.com/office/drawing/2014/main" id="{00000000-0008-0000-0100-0000C7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60" name="Text Box 63">
          <a:extLst>
            <a:ext uri="{FF2B5EF4-FFF2-40B4-BE49-F238E27FC236}">
              <a16:creationId xmlns:a16="http://schemas.microsoft.com/office/drawing/2014/main" id="{00000000-0008-0000-0100-0000C8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61" name="Text Box 3">
          <a:extLst>
            <a:ext uri="{FF2B5EF4-FFF2-40B4-BE49-F238E27FC236}">
              <a16:creationId xmlns:a16="http://schemas.microsoft.com/office/drawing/2014/main" id="{00000000-0008-0000-0100-0000C9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62" name="Text Box 32">
          <a:extLst>
            <a:ext uri="{FF2B5EF4-FFF2-40B4-BE49-F238E27FC236}">
              <a16:creationId xmlns:a16="http://schemas.microsoft.com/office/drawing/2014/main" id="{00000000-0008-0000-0100-0000CA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63" name="Text Box 3">
          <a:extLst>
            <a:ext uri="{FF2B5EF4-FFF2-40B4-BE49-F238E27FC236}">
              <a16:creationId xmlns:a16="http://schemas.microsoft.com/office/drawing/2014/main" id="{00000000-0008-0000-0100-0000CB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64" name="Text Box 63">
          <a:extLst>
            <a:ext uri="{FF2B5EF4-FFF2-40B4-BE49-F238E27FC236}">
              <a16:creationId xmlns:a16="http://schemas.microsoft.com/office/drawing/2014/main" id="{00000000-0008-0000-0100-0000CC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65" name="Text Box 3">
          <a:extLst>
            <a:ext uri="{FF2B5EF4-FFF2-40B4-BE49-F238E27FC236}">
              <a16:creationId xmlns:a16="http://schemas.microsoft.com/office/drawing/2014/main" id="{00000000-0008-0000-0100-0000CD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66" name="Text Box 32">
          <a:extLst>
            <a:ext uri="{FF2B5EF4-FFF2-40B4-BE49-F238E27FC236}">
              <a16:creationId xmlns:a16="http://schemas.microsoft.com/office/drawing/2014/main" id="{00000000-0008-0000-0100-0000CE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67" name="Text Box 3">
          <a:extLst>
            <a:ext uri="{FF2B5EF4-FFF2-40B4-BE49-F238E27FC236}">
              <a16:creationId xmlns:a16="http://schemas.microsoft.com/office/drawing/2014/main" id="{00000000-0008-0000-0100-0000CF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68" name="Text Box 63">
          <a:extLst>
            <a:ext uri="{FF2B5EF4-FFF2-40B4-BE49-F238E27FC236}">
              <a16:creationId xmlns:a16="http://schemas.microsoft.com/office/drawing/2014/main" id="{00000000-0008-0000-0100-0000D0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69" name="Text Box 3">
          <a:extLst>
            <a:ext uri="{FF2B5EF4-FFF2-40B4-BE49-F238E27FC236}">
              <a16:creationId xmlns:a16="http://schemas.microsoft.com/office/drawing/2014/main" id="{00000000-0008-0000-0100-0000D1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70" name="Text Box 32">
          <a:extLst>
            <a:ext uri="{FF2B5EF4-FFF2-40B4-BE49-F238E27FC236}">
              <a16:creationId xmlns:a16="http://schemas.microsoft.com/office/drawing/2014/main" id="{00000000-0008-0000-0100-0000D2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71" name="Text Box 3">
          <a:extLst>
            <a:ext uri="{FF2B5EF4-FFF2-40B4-BE49-F238E27FC236}">
              <a16:creationId xmlns:a16="http://schemas.microsoft.com/office/drawing/2014/main" id="{00000000-0008-0000-0100-0000D3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72" name="Text Box 63">
          <a:extLst>
            <a:ext uri="{FF2B5EF4-FFF2-40B4-BE49-F238E27FC236}">
              <a16:creationId xmlns:a16="http://schemas.microsoft.com/office/drawing/2014/main" id="{00000000-0008-0000-0100-0000D4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73" name="Text Box 3">
          <a:extLst>
            <a:ext uri="{FF2B5EF4-FFF2-40B4-BE49-F238E27FC236}">
              <a16:creationId xmlns:a16="http://schemas.microsoft.com/office/drawing/2014/main" id="{00000000-0008-0000-0100-0000D5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74" name="Text Box 32">
          <a:extLst>
            <a:ext uri="{FF2B5EF4-FFF2-40B4-BE49-F238E27FC236}">
              <a16:creationId xmlns:a16="http://schemas.microsoft.com/office/drawing/2014/main" id="{00000000-0008-0000-0100-0000D6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75" name="Text Box 3">
          <a:extLst>
            <a:ext uri="{FF2B5EF4-FFF2-40B4-BE49-F238E27FC236}">
              <a16:creationId xmlns:a16="http://schemas.microsoft.com/office/drawing/2014/main" id="{00000000-0008-0000-0100-0000D7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76" name="Text Box 63">
          <a:extLst>
            <a:ext uri="{FF2B5EF4-FFF2-40B4-BE49-F238E27FC236}">
              <a16:creationId xmlns:a16="http://schemas.microsoft.com/office/drawing/2014/main" id="{00000000-0008-0000-0100-0000D8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77" name="Text Box 3">
          <a:extLst>
            <a:ext uri="{FF2B5EF4-FFF2-40B4-BE49-F238E27FC236}">
              <a16:creationId xmlns:a16="http://schemas.microsoft.com/office/drawing/2014/main" id="{00000000-0008-0000-0100-0000D9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78" name="Text Box 32">
          <a:extLst>
            <a:ext uri="{FF2B5EF4-FFF2-40B4-BE49-F238E27FC236}">
              <a16:creationId xmlns:a16="http://schemas.microsoft.com/office/drawing/2014/main" id="{00000000-0008-0000-0100-0000DA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79" name="Text Box 3">
          <a:extLst>
            <a:ext uri="{FF2B5EF4-FFF2-40B4-BE49-F238E27FC236}">
              <a16:creationId xmlns:a16="http://schemas.microsoft.com/office/drawing/2014/main" id="{00000000-0008-0000-0100-0000DB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80" name="Text Box 63">
          <a:extLst>
            <a:ext uri="{FF2B5EF4-FFF2-40B4-BE49-F238E27FC236}">
              <a16:creationId xmlns:a16="http://schemas.microsoft.com/office/drawing/2014/main" id="{00000000-0008-0000-0100-0000DC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81" name="Text Box 3">
          <a:extLst>
            <a:ext uri="{FF2B5EF4-FFF2-40B4-BE49-F238E27FC236}">
              <a16:creationId xmlns:a16="http://schemas.microsoft.com/office/drawing/2014/main" id="{00000000-0008-0000-0100-0000DD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82" name="Text Box 32">
          <a:extLst>
            <a:ext uri="{FF2B5EF4-FFF2-40B4-BE49-F238E27FC236}">
              <a16:creationId xmlns:a16="http://schemas.microsoft.com/office/drawing/2014/main" id="{00000000-0008-0000-0100-0000DE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83" name="Text Box 3">
          <a:extLst>
            <a:ext uri="{FF2B5EF4-FFF2-40B4-BE49-F238E27FC236}">
              <a16:creationId xmlns:a16="http://schemas.microsoft.com/office/drawing/2014/main" id="{00000000-0008-0000-0100-0000DF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84" name="Text Box 63">
          <a:extLst>
            <a:ext uri="{FF2B5EF4-FFF2-40B4-BE49-F238E27FC236}">
              <a16:creationId xmlns:a16="http://schemas.microsoft.com/office/drawing/2014/main" id="{00000000-0008-0000-0100-0000E0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85" name="Text Box 3">
          <a:extLst>
            <a:ext uri="{FF2B5EF4-FFF2-40B4-BE49-F238E27FC236}">
              <a16:creationId xmlns:a16="http://schemas.microsoft.com/office/drawing/2014/main" id="{00000000-0008-0000-0100-0000E1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86" name="Text Box 32">
          <a:extLst>
            <a:ext uri="{FF2B5EF4-FFF2-40B4-BE49-F238E27FC236}">
              <a16:creationId xmlns:a16="http://schemas.microsoft.com/office/drawing/2014/main" id="{00000000-0008-0000-0100-0000E2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87" name="Text Box 3">
          <a:extLst>
            <a:ext uri="{FF2B5EF4-FFF2-40B4-BE49-F238E27FC236}">
              <a16:creationId xmlns:a16="http://schemas.microsoft.com/office/drawing/2014/main" id="{00000000-0008-0000-0100-0000E3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88" name="Text Box 63">
          <a:extLst>
            <a:ext uri="{FF2B5EF4-FFF2-40B4-BE49-F238E27FC236}">
              <a16:creationId xmlns:a16="http://schemas.microsoft.com/office/drawing/2014/main" id="{00000000-0008-0000-0100-0000E4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89" name="Text Box 3">
          <a:extLst>
            <a:ext uri="{FF2B5EF4-FFF2-40B4-BE49-F238E27FC236}">
              <a16:creationId xmlns:a16="http://schemas.microsoft.com/office/drawing/2014/main" id="{00000000-0008-0000-0100-0000E5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90" name="Text Box 32">
          <a:extLst>
            <a:ext uri="{FF2B5EF4-FFF2-40B4-BE49-F238E27FC236}">
              <a16:creationId xmlns:a16="http://schemas.microsoft.com/office/drawing/2014/main" id="{00000000-0008-0000-0100-0000E6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91" name="Text Box 3">
          <a:extLst>
            <a:ext uri="{FF2B5EF4-FFF2-40B4-BE49-F238E27FC236}">
              <a16:creationId xmlns:a16="http://schemas.microsoft.com/office/drawing/2014/main" id="{00000000-0008-0000-0100-0000E7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92" name="Text Box 63">
          <a:extLst>
            <a:ext uri="{FF2B5EF4-FFF2-40B4-BE49-F238E27FC236}">
              <a16:creationId xmlns:a16="http://schemas.microsoft.com/office/drawing/2014/main" id="{00000000-0008-0000-0100-0000E8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93" name="Text Box 3">
          <a:extLst>
            <a:ext uri="{FF2B5EF4-FFF2-40B4-BE49-F238E27FC236}">
              <a16:creationId xmlns:a16="http://schemas.microsoft.com/office/drawing/2014/main" id="{00000000-0008-0000-0100-0000E9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94" name="Text Box 32">
          <a:extLst>
            <a:ext uri="{FF2B5EF4-FFF2-40B4-BE49-F238E27FC236}">
              <a16:creationId xmlns:a16="http://schemas.microsoft.com/office/drawing/2014/main" id="{00000000-0008-0000-0100-0000EA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95" name="Text Box 3">
          <a:extLst>
            <a:ext uri="{FF2B5EF4-FFF2-40B4-BE49-F238E27FC236}">
              <a16:creationId xmlns:a16="http://schemas.microsoft.com/office/drawing/2014/main" id="{00000000-0008-0000-0100-0000EB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96" name="Text Box 63">
          <a:extLst>
            <a:ext uri="{FF2B5EF4-FFF2-40B4-BE49-F238E27FC236}">
              <a16:creationId xmlns:a16="http://schemas.microsoft.com/office/drawing/2014/main" id="{00000000-0008-0000-0100-0000EC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97" name="Text Box 3">
          <a:extLst>
            <a:ext uri="{FF2B5EF4-FFF2-40B4-BE49-F238E27FC236}">
              <a16:creationId xmlns:a16="http://schemas.microsoft.com/office/drawing/2014/main" id="{00000000-0008-0000-0100-0000ED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798" name="Text Box 32">
          <a:extLst>
            <a:ext uri="{FF2B5EF4-FFF2-40B4-BE49-F238E27FC236}">
              <a16:creationId xmlns:a16="http://schemas.microsoft.com/office/drawing/2014/main" id="{00000000-0008-0000-0100-0000EE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799" name="Text Box 3">
          <a:extLst>
            <a:ext uri="{FF2B5EF4-FFF2-40B4-BE49-F238E27FC236}">
              <a16:creationId xmlns:a16="http://schemas.microsoft.com/office/drawing/2014/main" id="{00000000-0008-0000-0100-0000EF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00" name="Text Box 63">
          <a:extLst>
            <a:ext uri="{FF2B5EF4-FFF2-40B4-BE49-F238E27FC236}">
              <a16:creationId xmlns:a16="http://schemas.microsoft.com/office/drawing/2014/main" id="{00000000-0008-0000-0100-0000F0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01" name="Text Box 3">
          <a:extLst>
            <a:ext uri="{FF2B5EF4-FFF2-40B4-BE49-F238E27FC236}">
              <a16:creationId xmlns:a16="http://schemas.microsoft.com/office/drawing/2014/main" id="{00000000-0008-0000-0100-0000F1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02" name="Text Box 32">
          <a:extLst>
            <a:ext uri="{FF2B5EF4-FFF2-40B4-BE49-F238E27FC236}">
              <a16:creationId xmlns:a16="http://schemas.microsoft.com/office/drawing/2014/main" id="{00000000-0008-0000-0100-0000F2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03" name="Text Box 3">
          <a:extLst>
            <a:ext uri="{FF2B5EF4-FFF2-40B4-BE49-F238E27FC236}">
              <a16:creationId xmlns:a16="http://schemas.microsoft.com/office/drawing/2014/main" id="{00000000-0008-0000-0100-0000F3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04" name="Text Box 63">
          <a:extLst>
            <a:ext uri="{FF2B5EF4-FFF2-40B4-BE49-F238E27FC236}">
              <a16:creationId xmlns:a16="http://schemas.microsoft.com/office/drawing/2014/main" id="{00000000-0008-0000-0100-0000F4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05" name="Text Box 3">
          <a:extLst>
            <a:ext uri="{FF2B5EF4-FFF2-40B4-BE49-F238E27FC236}">
              <a16:creationId xmlns:a16="http://schemas.microsoft.com/office/drawing/2014/main" id="{00000000-0008-0000-0100-0000F5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06" name="Text Box 32">
          <a:extLst>
            <a:ext uri="{FF2B5EF4-FFF2-40B4-BE49-F238E27FC236}">
              <a16:creationId xmlns:a16="http://schemas.microsoft.com/office/drawing/2014/main" id="{00000000-0008-0000-0100-0000F6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07" name="Text Box 3">
          <a:extLst>
            <a:ext uri="{FF2B5EF4-FFF2-40B4-BE49-F238E27FC236}">
              <a16:creationId xmlns:a16="http://schemas.microsoft.com/office/drawing/2014/main" id="{00000000-0008-0000-0100-0000F7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08" name="Text Box 63">
          <a:extLst>
            <a:ext uri="{FF2B5EF4-FFF2-40B4-BE49-F238E27FC236}">
              <a16:creationId xmlns:a16="http://schemas.microsoft.com/office/drawing/2014/main" id="{00000000-0008-0000-0100-0000F8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09" name="Text Box 3">
          <a:extLst>
            <a:ext uri="{FF2B5EF4-FFF2-40B4-BE49-F238E27FC236}">
              <a16:creationId xmlns:a16="http://schemas.microsoft.com/office/drawing/2014/main" id="{00000000-0008-0000-0100-0000F9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10" name="Text Box 32">
          <a:extLst>
            <a:ext uri="{FF2B5EF4-FFF2-40B4-BE49-F238E27FC236}">
              <a16:creationId xmlns:a16="http://schemas.microsoft.com/office/drawing/2014/main" id="{00000000-0008-0000-0100-0000FA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11" name="Text Box 3">
          <a:extLst>
            <a:ext uri="{FF2B5EF4-FFF2-40B4-BE49-F238E27FC236}">
              <a16:creationId xmlns:a16="http://schemas.microsoft.com/office/drawing/2014/main" id="{00000000-0008-0000-0100-0000FB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12" name="Text Box 63">
          <a:extLst>
            <a:ext uri="{FF2B5EF4-FFF2-40B4-BE49-F238E27FC236}">
              <a16:creationId xmlns:a16="http://schemas.microsoft.com/office/drawing/2014/main" id="{00000000-0008-0000-0100-0000FC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13" name="Text Box 3">
          <a:extLst>
            <a:ext uri="{FF2B5EF4-FFF2-40B4-BE49-F238E27FC236}">
              <a16:creationId xmlns:a16="http://schemas.microsoft.com/office/drawing/2014/main" id="{00000000-0008-0000-0100-0000FD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14" name="Text Box 32">
          <a:extLst>
            <a:ext uri="{FF2B5EF4-FFF2-40B4-BE49-F238E27FC236}">
              <a16:creationId xmlns:a16="http://schemas.microsoft.com/office/drawing/2014/main" id="{00000000-0008-0000-0100-0000FE0A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15" name="Text Box 3">
          <a:extLst>
            <a:ext uri="{FF2B5EF4-FFF2-40B4-BE49-F238E27FC236}">
              <a16:creationId xmlns:a16="http://schemas.microsoft.com/office/drawing/2014/main" id="{00000000-0008-0000-0100-0000FF0A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16" name="Text Box 63">
          <a:extLst>
            <a:ext uri="{FF2B5EF4-FFF2-40B4-BE49-F238E27FC236}">
              <a16:creationId xmlns:a16="http://schemas.microsoft.com/office/drawing/2014/main" id="{00000000-0008-0000-0100-000000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17" name="Text Box 3">
          <a:extLst>
            <a:ext uri="{FF2B5EF4-FFF2-40B4-BE49-F238E27FC236}">
              <a16:creationId xmlns:a16="http://schemas.microsoft.com/office/drawing/2014/main" id="{00000000-0008-0000-0100-000001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18" name="Text Box 32">
          <a:extLst>
            <a:ext uri="{FF2B5EF4-FFF2-40B4-BE49-F238E27FC236}">
              <a16:creationId xmlns:a16="http://schemas.microsoft.com/office/drawing/2014/main" id="{00000000-0008-0000-0100-000002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19" name="Text Box 3">
          <a:extLst>
            <a:ext uri="{FF2B5EF4-FFF2-40B4-BE49-F238E27FC236}">
              <a16:creationId xmlns:a16="http://schemas.microsoft.com/office/drawing/2014/main" id="{00000000-0008-0000-0100-000003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20" name="Text Box 63">
          <a:extLst>
            <a:ext uri="{FF2B5EF4-FFF2-40B4-BE49-F238E27FC236}">
              <a16:creationId xmlns:a16="http://schemas.microsoft.com/office/drawing/2014/main" id="{00000000-0008-0000-0100-000004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21" name="Text Box 3">
          <a:extLst>
            <a:ext uri="{FF2B5EF4-FFF2-40B4-BE49-F238E27FC236}">
              <a16:creationId xmlns:a16="http://schemas.microsoft.com/office/drawing/2014/main" id="{00000000-0008-0000-0100-000005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22" name="Text Box 32">
          <a:extLst>
            <a:ext uri="{FF2B5EF4-FFF2-40B4-BE49-F238E27FC236}">
              <a16:creationId xmlns:a16="http://schemas.microsoft.com/office/drawing/2014/main" id="{00000000-0008-0000-0100-000006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23" name="Text Box 3">
          <a:extLst>
            <a:ext uri="{FF2B5EF4-FFF2-40B4-BE49-F238E27FC236}">
              <a16:creationId xmlns:a16="http://schemas.microsoft.com/office/drawing/2014/main" id="{00000000-0008-0000-0100-000007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24" name="Text Box 63">
          <a:extLst>
            <a:ext uri="{FF2B5EF4-FFF2-40B4-BE49-F238E27FC236}">
              <a16:creationId xmlns:a16="http://schemas.microsoft.com/office/drawing/2014/main" id="{00000000-0008-0000-0100-000008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25" name="Text Box 3">
          <a:extLst>
            <a:ext uri="{FF2B5EF4-FFF2-40B4-BE49-F238E27FC236}">
              <a16:creationId xmlns:a16="http://schemas.microsoft.com/office/drawing/2014/main" id="{00000000-0008-0000-0100-000009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26" name="Text Box 32">
          <a:extLst>
            <a:ext uri="{FF2B5EF4-FFF2-40B4-BE49-F238E27FC236}">
              <a16:creationId xmlns:a16="http://schemas.microsoft.com/office/drawing/2014/main" id="{00000000-0008-0000-0100-00000A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27" name="Text Box 3">
          <a:extLst>
            <a:ext uri="{FF2B5EF4-FFF2-40B4-BE49-F238E27FC236}">
              <a16:creationId xmlns:a16="http://schemas.microsoft.com/office/drawing/2014/main" id="{00000000-0008-0000-0100-00000B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28" name="Text Box 63">
          <a:extLst>
            <a:ext uri="{FF2B5EF4-FFF2-40B4-BE49-F238E27FC236}">
              <a16:creationId xmlns:a16="http://schemas.microsoft.com/office/drawing/2014/main" id="{00000000-0008-0000-0100-00000C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29" name="Text Box 3">
          <a:extLst>
            <a:ext uri="{FF2B5EF4-FFF2-40B4-BE49-F238E27FC236}">
              <a16:creationId xmlns:a16="http://schemas.microsoft.com/office/drawing/2014/main" id="{00000000-0008-0000-0100-00000D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30" name="Text Box 32">
          <a:extLst>
            <a:ext uri="{FF2B5EF4-FFF2-40B4-BE49-F238E27FC236}">
              <a16:creationId xmlns:a16="http://schemas.microsoft.com/office/drawing/2014/main" id="{00000000-0008-0000-0100-00000E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31" name="Text Box 3">
          <a:extLst>
            <a:ext uri="{FF2B5EF4-FFF2-40B4-BE49-F238E27FC236}">
              <a16:creationId xmlns:a16="http://schemas.microsoft.com/office/drawing/2014/main" id="{00000000-0008-0000-0100-00000F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32" name="Text Box 63">
          <a:extLst>
            <a:ext uri="{FF2B5EF4-FFF2-40B4-BE49-F238E27FC236}">
              <a16:creationId xmlns:a16="http://schemas.microsoft.com/office/drawing/2014/main" id="{00000000-0008-0000-0100-000010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33" name="Text Box 3">
          <a:extLst>
            <a:ext uri="{FF2B5EF4-FFF2-40B4-BE49-F238E27FC236}">
              <a16:creationId xmlns:a16="http://schemas.microsoft.com/office/drawing/2014/main" id="{00000000-0008-0000-0100-000011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34" name="Text Box 32">
          <a:extLst>
            <a:ext uri="{FF2B5EF4-FFF2-40B4-BE49-F238E27FC236}">
              <a16:creationId xmlns:a16="http://schemas.microsoft.com/office/drawing/2014/main" id="{00000000-0008-0000-0100-000012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35" name="Text Box 3">
          <a:extLst>
            <a:ext uri="{FF2B5EF4-FFF2-40B4-BE49-F238E27FC236}">
              <a16:creationId xmlns:a16="http://schemas.microsoft.com/office/drawing/2014/main" id="{00000000-0008-0000-0100-000013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36" name="Text Box 63">
          <a:extLst>
            <a:ext uri="{FF2B5EF4-FFF2-40B4-BE49-F238E27FC236}">
              <a16:creationId xmlns:a16="http://schemas.microsoft.com/office/drawing/2014/main" id="{00000000-0008-0000-0100-000014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37" name="Text Box 3">
          <a:extLst>
            <a:ext uri="{FF2B5EF4-FFF2-40B4-BE49-F238E27FC236}">
              <a16:creationId xmlns:a16="http://schemas.microsoft.com/office/drawing/2014/main" id="{00000000-0008-0000-0100-000015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38" name="Text Box 32">
          <a:extLst>
            <a:ext uri="{FF2B5EF4-FFF2-40B4-BE49-F238E27FC236}">
              <a16:creationId xmlns:a16="http://schemas.microsoft.com/office/drawing/2014/main" id="{00000000-0008-0000-0100-000016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39" name="Text Box 3">
          <a:extLst>
            <a:ext uri="{FF2B5EF4-FFF2-40B4-BE49-F238E27FC236}">
              <a16:creationId xmlns:a16="http://schemas.microsoft.com/office/drawing/2014/main" id="{00000000-0008-0000-0100-000017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40" name="Text Box 63">
          <a:extLst>
            <a:ext uri="{FF2B5EF4-FFF2-40B4-BE49-F238E27FC236}">
              <a16:creationId xmlns:a16="http://schemas.microsoft.com/office/drawing/2014/main" id="{00000000-0008-0000-0100-000018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41" name="Text Box 3">
          <a:extLst>
            <a:ext uri="{FF2B5EF4-FFF2-40B4-BE49-F238E27FC236}">
              <a16:creationId xmlns:a16="http://schemas.microsoft.com/office/drawing/2014/main" id="{00000000-0008-0000-0100-000019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42" name="Text Box 32">
          <a:extLst>
            <a:ext uri="{FF2B5EF4-FFF2-40B4-BE49-F238E27FC236}">
              <a16:creationId xmlns:a16="http://schemas.microsoft.com/office/drawing/2014/main" id="{00000000-0008-0000-0100-00001A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43" name="Text Box 3">
          <a:extLst>
            <a:ext uri="{FF2B5EF4-FFF2-40B4-BE49-F238E27FC236}">
              <a16:creationId xmlns:a16="http://schemas.microsoft.com/office/drawing/2014/main" id="{00000000-0008-0000-0100-00001B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44" name="Text Box 63">
          <a:extLst>
            <a:ext uri="{FF2B5EF4-FFF2-40B4-BE49-F238E27FC236}">
              <a16:creationId xmlns:a16="http://schemas.microsoft.com/office/drawing/2014/main" id="{00000000-0008-0000-0100-00001C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45" name="Text Box 3">
          <a:extLst>
            <a:ext uri="{FF2B5EF4-FFF2-40B4-BE49-F238E27FC236}">
              <a16:creationId xmlns:a16="http://schemas.microsoft.com/office/drawing/2014/main" id="{00000000-0008-0000-0100-00001D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46" name="Text Box 32">
          <a:extLst>
            <a:ext uri="{FF2B5EF4-FFF2-40B4-BE49-F238E27FC236}">
              <a16:creationId xmlns:a16="http://schemas.microsoft.com/office/drawing/2014/main" id="{00000000-0008-0000-0100-00001E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47" name="Text Box 3">
          <a:extLst>
            <a:ext uri="{FF2B5EF4-FFF2-40B4-BE49-F238E27FC236}">
              <a16:creationId xmlns:a16="http://schemas.microsoft.com/office/drawing/2014/main" id="{00000000-0008-0000-0100-00001F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48" name="Text Box 63">
          <a:extLst>
            <a:ext uri="{FF2B5EF4-FFF2-40B4-BE49-F238E27FC236}">
              <a16:creationId xmlns:a16="http://schemas.microsoft.com/office/drawing/2014/main" id="{00000000-0008-0000-0100-000020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49" name="Text Box 3">
          <a:extLst>
            <a:ext uri="{FF2B5EF4-FFF2-40B4-BE49-F238E27FC236}">
              <a16:creationId xmlns:a16="http://schemas.microsoft.com/office/drawing/2014/main" id="{00000000-0008-0000-0100-000021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50" name="Text Box 32">
          <a:extLst>
            <a:ext uri="{FF2B5EF4-FFF2-40B4-BE49-F238E27FC236}">
              <a16:creationId xmlns:a16="http://schemas.microsoft.com/office/drawing/2014/main" id="{00000000-0008-0000-0100-000022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51" name="Text Box 3">
          <a:extLst>
            <a:ext uri="{FF2B5EF4-FFF2-40B4-BE49-F238E27FC236}">
              <a16:creationId xmlns:a16="http://schemas.microsoft.com/office/drawing/2014/main" id="{00000000-0008-0000-0100-000023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52" name="Text Box 63">
          <a:extLst>
            <a:ext uri="{FF2B5EF4-FFF2-40B4-BE49-F238E27FC236}">
              <a16:creationId xmlns:a16="http://schemas.microsoft.com/office/drawing/2014/main" id="{00000000-0008-0000-0100-000024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53" name="Text Box 3">
          <a:extLst>
            <a:ext uri="{FF2B5EF4-FFF2-40B4-BE49-F238E27FC236}">
              <a16:creationId xmlns:a16="http://schemas.microsoft.com/office/drawing/2014/main" id="{00000000-0008-0000-0100-000025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54" name="Text Box 32">
          <a:extLst>
            <a:ext uri="{FF2B5EF4-FFF2-40B4-BE49-F238E27FC236}">
              <a16:creationId xmlns:a16="http://schemas.microsoft.com/office/drawing/2014/main" id="{00000000-0008-0000-0100-000026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55" name="Text Box 3">
          <a:extLst>
            <a:ext uri="{FF2B5EF4-FFF2-40B4-BE49-F238E27FC236}">
              <a16:creationId xmlns:a16="http://schemas.microsoft.com/office/drawing/2014/main" id="{00000000-0008-0000-0100-000027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56" name="Text Box 63">
          <a:extLst>
            <a:ext uri="{FF2B5EF4-FFF2-40B4-BE49-F238E27FC236}">
              <a16:creationId xmlns:a16="http://schemas.microsoft.com/office/drawing/2014/main" id="{00000000-0008-0000-0100-000028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57" name="Text Box 3">
          <a:extLst>
            <a:ext uri="{FF2B5EF4-FFF2-40B4-BE49-F238E27FC236}">
              <a16:creationId xmlns:a16="http://schemas.microsoft.com/office/drawing/2014/main" id="{00000000-0008-0000-0100-000029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58" name="Text Box 32">
          <a:extLst>
            <a:ext uri="{FF2B5EF4-FFF2-40B4-BE49-F238E27FC236}">
              <a16:creationId xmlns:a16="http://schemas.microsoft.com/office/drawing/2014/main" id="{00000000-0008-0000-0100-00002A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59" name="Text Box 3">
          <a:extLst>
            <a:ext uri="{FF2B5EF4-FFF2-40B4-BE49-F238E27FC236}">
              <a16:creationId xmlns:a16="http://schemas.microsoft.com/office/drawing/2014/main" id="{00000000-0008-0000-0100-00002B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60" name="Text Box 63">
          <a:extLst>
            <a:ext uri="{FF2B5EF4-FFF2-40B4-BE49-F238E27FC236}">
              <a16:creationId xmlns:a16="http://schemas.microsoft.com/office/drawing/2014/main" id="{00000000-0008-0000-0100-00002C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61" name="Text Box 3">
          <a:extLst>
            <a:ext uri="{FF2B5EF4-FFF2-40B4-BE49-F238E27FC236}">
              <a16:creationId xmlns:a16="http://schemas.microsoft.com/office/drawing/2014/main" id="{00000000-0008-0000-0100-00002D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62" name="Text Box 32">
          <a:extLst>
            <a:ext uri="{FF2B5EF4-FFF2-40B4-BE49-F238E27FC236}">
              <a16:creationId xmlns:a16="http://schemas.microsoft.com/office/drawing/2014/main" id="{00000000-0008-0000-0100-00002E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63" name="Text Box 3">
          <a:extLst>
            <a:ext uri="{FF2B5EF4-FFF2-40B4-BE49-F238E27FC236}">
              <a16:creationId xmlns:a16="http://schemas.microsoft.com/office/drawing/2014/main" id="{00000000-0008-0000-0100-00002F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64" name="Text Box 63">
          <a:extLst>
            <a:ext uri="{FF2B5EF4-FFF2-40B4-BE49-F238E27FC236}">
              <a16:creationId xmlns:a16="http://schemas.microsoft.com/office/drawing/2014/main" id="{00000000-0008-0000-0100-000030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65" name="Text Box 3">
          <a:extLst>
            <a:ext uri="{FF2B5EF4-FFF2-40B4-BE49-F238E27FC236}">
              <a16:creationId xmlns:a16="http://schemas.microsoft.com/office/drawing/2014/main" id="{00000000-0008-0000-0100-000031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66" name="Text Box 32">
          <a:extLst>
            <a:ext uri="{FF2B5EF4-FFF2-40B4-BE49-F238E27FC236}">
              <a16:creationId xmlns:a16="http://schemas.microsoft.com/office/drawing/2014/main" id="{00000000-0008-0000-0100-000032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67" name="Text Box 3">
          <a:extLst>
            <a:ext uri="{FF2B5EF4-FFF2-40B4-BE49-F238E27FC236}">
              <a16:creationId xmlns:a16="http://schemas.microsoft.com/office/drawing/2014/main" id="{00000000-0008-0000-0100-000033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68" name="Text Box 63">
          <a:extLst>
            <a:ext uri="{FF2B5EF4-FFF2-40B4-BE49-F238E27FC236}">
              <a16:creationId xmlns:a16="http://schemas.microsoft.com/office/drawing/2014/main" id="{00000000-0008-0000-0100-000034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69" name="Text Box 3">
          <a:extLst>
            <a:ext uri="{FF2B5EF4-FFF2-40B4-BE49-F238E27FC236}">
              <a16:creationId xmlns:a16="http://schemas.microsoft.com/office/drawing/2014/main" id="{00000000-0008-0000-0100-000035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70" name="Text Box 32">
          <a:extLst>
            <a:ext uri="{FF2B5EF4-FFF2-40B4-BE49-F238E27FC236}">
              <a16:creationId xmlns:a16="http://schemas.microsoft.com/office/drawing/2014/main" id="{00000000-0008-0000-0100-000036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71" name="Text Box 3">
          <a:extLst>
            <a:ext uri="{FF2B5EF4-FFF2-40B4-BE49-F238E27FC236}">
              <a16:creationId xmlns:a16="http://schemas.microsoft.com/office/drawing/2014/main" id="{00000000-0008-0000-0100-000037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72" name="Text Box 63">
          <a:extLst>
            <a:ext uri="{FF2B5EF4-FFF2-40B4-BE49-F238E27FC236}">
              <a16:creationId xmlns:a16="http://schemas.microsoft.com/office/drawing/2014/main" id="{00000000-0008-0000-0100-000038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73" name="Text Box 3">
          <a:extLst>
            <a:ext uri="{FF2B5EF4-FFF2-40B4-BE49-F238E27FC236}">
              <a16:creationId xmlns:a16="http://schemas.microsoft.com/office/drawing/2014/main" id="{00000000-0008-0000-0100-000039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74" name="Text Box 32">
          <a:extLst>
            <a:ext uri="{FF2B5EF4-FFF2-40B4-BE49-F238E27FC236}">
              <a16:creationId xmlns:a16="http://schemas.microsoft.com/office/drawing/2014/main" id="{00000000-0008-0000-0100-00003A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75" name="Text Box 3">
          <a:extLst>
            <a:ext uri="{FF2B5EF4-FFF2-40B4-BE49-F238E27FC236}">
              <a16:creationId xmlns:a16="http://schemas.microsoft.com/office/drawing/2014/main" id="{00000000-0008-0000-0100-00003B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76" name="Text Box 63">
          <a:extLst>
            <a:ext uri="{FF2B5EF4-FFF2-40B4-BE49-F238E27FC236}">
              <a16:creationId xmlns:a16="http://schemas.microsoft.com/office/drawing/2014/main" id="{00000000-0008-0000-0100-00003C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77" name="Text Box 3">
          <a:extLst>
            <a:ext uri="{FF2B5EF4-FFF2-40B4-BE49-F238E27FC236}">
              <a16:creationId xmlns:a16="http://schemas.microsoft.com/office/drawing/2014/main" id="{00000000-0008-0000-0100-00003D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78" name="Text Box 32">
          <a:extLst>
            <a:ext uri="{FF2B5EF4-FFF2-40B4-BE49-F238E27FC236}">
              <a16:creationId xmlns:a16="http://schemas.microsoft.com/office/drawing/2014/main" id="{00000000-0008-0000-0100-00003E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79" name="Text Box 3">
          <a:extLst>
            <a:ext uri="{FF2B5EF4-FFF2-40B4-BE49-F238E27FC236}">
              <a16:creationId xmlns:a16="http://schemas.microsoft.com/office/drawing/2014/main" id="{00000000-0008-0000-0100-00003F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80" name="Text Box 63">
          <a:extLst>
            <a:ext uri="{FF2B5EF4-FFF2-40B4-BE49-F238E27FC236}">
              <a16:creationId xmlns:a16="http://schemas.microsoft.com/office/drawing/2014/main" id="{00000000-0008-0000-0100-000040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81" name="Text Box 3">
          <a:extLst>
            <a:ext uri="{FF2B5EF4-FFF2-40B4-BE49-F238E27FC236}">
              <a16:creationId xmlns:a16="http://schemas.microsoft.com/office/drawing/2014/main" id="{00000000-0008-0000-0100-000041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82" name="Text Box 32">
          <a:extLst>
            <a:ext uri="{FF2B5EF4-FFF2-40B4-BE49-F238E27FC236}">
              <a16:creationId xmlns:a16="http://schemas.microsoft.com/office/drawing/2014/main" id="{00000000-0008-0000-0100-000042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83" name="Text Box 3">
          <a:extLst>
            <a:ext uri="{FF2B5EF4-FFF2-40B4-BE49-F238E27FC236}">
              <a16:creationId xmlns:a16="http://schemas.microsoft.com/office/drawing/2014/main" id="{00000000-0008-0000-0100-000043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84" name="Text Box 63">
          <a:extLst>
            <a:ext uri="{FF2B5EF4-FFF2-40B4-BE49-F238E27FC236}">
              <a16:creationId xmlns:a16="http://schemas.microsoft.com/office/drawing/2014/main" id="{00000000-0008-0000-0100-000044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85" name="Text Box 3">
          <a:extLst>
            <a:ext uri="{FF2B5EF4-FFF2-40B4-BE49-F238E27FC236}">
              <a16:creationId xmlns:a16="http://schemas.microsoft.com/office/drawing/2014/main" id="{00000000-0008-0000-0100-000045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86" name="Text Box 32">
          <a:extLst>
            <a:ext uri="{FF2B5EF4-FFF2-40B4-BE49-F238E27FC236}">
              <a16:creationId xmlns:a16="http://schemas.microsoft.com/office/drawing/2014/main" id="{00000000-0008-0000-0100-000046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87" name="Text Box 3">
          <a:extLst>
            <a:ext uri="{FF2B5EF4-FFF2-40B4-BE49-F238E27FC236}">
              <a16:creationId xmlns:a16="http://schemas.microsoft.com/office/drawing/2014/main" id="{00000000-0008-0000-0100-000047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88" name="Text Box 63">
          <a:extLst>
            <a:ext uri="{FF2B5EF4-FFF2-40B4-BE49-F238E27FC236}">
              <a16:creationId xmlns:a16="http://schemas.microsoft.com/office/drawing/2014/main" id="{00000000-0008-0000-0100-000048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89" name="Text Box 3">
          <a:extLst>
            <a:ext uri="{FF2B5EF4-FFF2-40B4-BE49-F238E27FC236}">
              <a16:creationId xmlns:a16="http://schemas.microsoft.com/office/drawing/2014/main" id="{00000000-0008-0000-0100-000049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90" name="Text Box 32">
          <a:extLst>
            <a:ext uri="{FF2B5EF4-FFF2-40B4-BE49-F238E27FC236}">
              <a16:creationId xmlns:a16="http://schemas.microsoft.com/office/drawing/2014/main" id="{00000000-0008-0000-0100-00004A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91" name="Text Box 3">
          <a:extLst>
            <a:ext uri="{FF2B5EF4-FFF2-40B4-BE49-F238E27FC236}">
              <a16:creationId xmlns:a16="http://schemas.microsoft.com/office/drawing/2014/main" id="{00000000-0008-0000-0100-00004B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92" name="Text Box 63">
          <a:extLst>
            <a:ext uri="{FF2B5EF4-FFF2-40B4-BE49-F238E27FC236}">
              <a16:creationId xmlns:a16="http://schemas.microsoft.com/office/drawing/2014/main" id="{00000000-0008-0000-0100-00004C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93" name="Text Box 3">
          <a:extLst>
            <a:ext uri="{FF2B5EF4-FFF2-40B4-BE49-F238E27FC236}">
              <a16:creationId xmlns:a16="http://schemas.microsoft.com/office/drawing/2014/main" id="{00000000-0008-0000-0100-00004D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94" name="Text Box 32">
          <a:extLst>
            <a:ext uri="{FF2B5EF4-FFF2-40B4-BE49-F238E27FC236}">
              <a16:creationId xmlns:a16="http://schemas.microsoft.com/office/drawing/2014/main" id="{00000000-0008-0000-0100-00004E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95" name="Text Box 3">
          <a:extLst>
            <a:ext uri="{FF2B5EF4-FFF2-40B4-BE49-F238E27FC236}">
              <a16:creationId xmlns:a16="http://schemas.microsoft.com/office/drawing/2014/main" id="{00000000-0008-0000-0100-00004F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96" name="Text Box 63">
          <a:extLst>
            <a:ext uri="{FF2B5EF4-FFF2-40B4-BE49-F238E27FC236}">
              <a16:creationId xmlns:a16="http://schemas.microsoft.com/office/drawing/2014/main" id="{00000000-0008-0000-0100-000050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97" name="Text Box 3">
          <a:extLst>
            <a:ext uri="{FF2B5EF4-FFF2-40B4-BE49-F238E27FC236}">
              <a16:creationId xmlns:a16="http://schemas.microsoft.com/office/drawing/2014/main" id="{00000000-0008-0000-0100-000051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898" name="Text Box 32">
          <a:extLst>
            <a:ext uri="{FF2B5EF4-FFF2-40B4-BE49-F238E27FC236}">
              <a16:creationId xmlns:a16="http://schemas.microsoft.com/office/drawing/2014/main" id="{00000000-0008-0000-0100-000052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899" name="Text Box 3">
          <a:extLst>
            <a:ext uri="{FF2B5EF4-FFF2-40B4-BE49-F238E27FC236}">
              <a16:creationId xmlns:a16="http://schemas.microsoft.com/office/drawing/2014/main" id="{00000000-0008-0000-0100-000053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00" name="Text Box 63">
          <a:extLst>
            <a:ext uri="{FF2B5EF4-FFF2-40B4-BE49-F238E27FC236}">
              <a16:creationId xmlns:a16="http://schemas.microsoft.com/office/drawing/2014/main" id="{00000000-0008-0000-0100-000054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01" name="Text Box 3">
          <a:extLst>
            <a:ext uri="{FF2B5EF4-FFF2-40B4-BE49-F238E27FC236}">
              <a16:creationId xmlns:a16="http://schemas.microsoft.com/office/drawing/2014/main" id="{00000000-0008-0000-0100-000055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02" name="Text Box 32">
          <a:extLst>
            <a:ext uri="{FF2B5EF4-FFF2-40B4-BE49-F238E27FC236}">
              <a16:creationId xmlns:a16="http://schemas.microsoft.com/office/drawing/2014/main" id="{00000000-0008-0000-0100-000056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03" name="Text Box 3">
          <a:extLst>
            <a:ext uri="{FF2B5EF4-FFF2-40B4-BE49-F238E27FC236}">
              <a16:creationId xmlns:a16="http://schemas.microsoft.com/office/drawing/2014/main" id="{00000000-0008-0000-0100-000057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04" name="Text Box 63">
          <a:extLst>
            <a:ext uri="{FF2B5EF4-FFF2-40B4-BE49-F238E27FC236}">
              <a16:creationId xmlns:a16="http://schemas.microsoft.com/office/drawing/2014/main" id="{00000000-0008-0000-0100-000058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05" name="Text Box 3">
          <a:extLst>
            <a:ext uri="{FF2B5EF4-FFF2-40B4-BE49-F238E27FC236}">
              <a16:creationId xmlns:a16="http://schemas.microsoft.com/office/drawing/2014/main" id="{00000000-0008-0000-0100-000059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06" name="Text Box 32">
          <a:extLst>
            <a:ext uri="{FF2B5EF4-FFF2-40B4-BE49-F238E27FC236}">
              <a16:creationId xmlns:a16="http://schemas.microsoft.com/office/drawing/2014/main" id="{00000000-0008-0000-0100-00005A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07" name="Text Box 3">
          <a:extLst>
            <a:ext uri="{FF2B5EF4-FFF2-40B4-BE49-F238E27FC236}">
              <a16:creationId xmlns:a16="http://schemas.microsoft.com/office/drawing/2014/main" id="{00000000-0008-0000-0100-00005B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08" name="Text Box 63">
          <a:extLst>
            <a:ext uri="{FF2B5EF4-FFF2-40B4-BE49-F238E27FC236}">
              <a16:creationId xmlns:a16="http://schemas.microsoft.com/office/drawing/2014/main" id="{00000000-0008-0000-0100-00005C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09" name="Text Box 3">
          <a:extLst>
            <a:ext uri="{FF2B5EF4-FFF2-40B4-BE49-F238E27FC236}">
              <a16:creationId xmlns:a16="http://schemas.microsoft.com/office/drawing/2014/main" id="{00000000-0008-0000-0100-00005D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10" name="Text Box 32">
          <a:extLst>
            <a:ext uri="{FF2B5EF4-FFF2-40B4-BE49-F238E27FC236}">
              <a16:creationId xmlns:a16="http://schemas.microsoft.com/office/drawing/2014/main" id="{00000000-0008-0000-0100-00005E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11" name="Text Box 3">
          <a:extLst>
            <a:ext uri="{FF2B5EF4-FFF2-40B4-BE49-F238E27FC236}">
              <a16:creationId xmlns:a16="http://schemas.microsoft.com/office/drawing/2014/main" id="{00000000-0008-0000-0100-00005F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12" name="Text Box 63">
          <a:extLst>
            <a:ext uri="{FF2B5EF4-FFF2-40B4-BE49-F238E27FC236}">
              <a16:creationId xmlns:a16="http://schemas.microsoft.com/office/drawing/2014/main" id="{00000000-0008-0000-0100-000060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13" name="Text Box 3">
          <a:extLst>
            <a:ext uri="{FF2B5EF4-FFF2-40B4-BE49-F238E27FC236}">
              <a16:creationId xmlns:a16="http://schemas.microsoft.com/office/drawing/2014/main" id="{00000000-0008-0000-0100-000061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14" name="Text Box 32">
          <a:extLst>
            <a:ext uri="{FF2B5EF4-FFF2-40B4-BE49-F238E27FC236}">
              <a16:creationId xmlns:a16="http://schemas.microsoft.com/office/drawing/2014/main" id="{00000000-0008-0000-0100-000062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15" name="Text Box 3">
          <a:extLst>
            <a:ext uri="{FF2B5EF4-FFF2-40B4-BE49-F238E27FC236}">
              <a16:creationId xmlns:a16="http://schemas.microsoft.com/office/drawing/2014/main" id="{00000000-0008-0000-0100-000063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16" name="Text Box 63">
          <a:extLst>
            <a:ext uri="{FF2B5EF4-FFF2-40B4-BE49-F238E27FC236}">
              <a16:creationId xmlns:a16="http://schemas.microsoft.com/office/drawing/2014/main" id="{00000000-0008-0000-0100-000064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17" name="Text Box 3">
          <a:extLst>
            <a:ext uri="{FF2B5EF4-FFF2-40B4-BE49-F238E27FC236}">
              <a16:creationId xmlns:a16="http://schemas.microsoft.com/office/drawing/2014/main" id="{00000000-0008-0000-0100-000065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18" name="Text Box 32">
          <a:extLst>
            <a:ext uri="{FF2B5EF4-FFF2-40B4-BE49-F238E27FC236}">
              <a16:creationId xmlns:a16="http://schemas.microsoft.com/office/drawing/2014/main" id="{00000000-0008-0000-0100-000066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19" name="Text Box 3">
          <a:extLst>
            <a:ext uri="{FF2B5EF4-FFF2-40B4-BE49-F238E27FC236}">
              <a16:creationId xmlns:a16="http://schemas.microsoft.com/office/drawing/2014/main" id="{00000000-0008-0000-0100-000067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20" name="Text Box 63">
          <a:extLst>
            <a:ext uri="{FF2B5EF4-FFF2-40B4-BE49-F238E27FC236}">
              <a16:creationId xmlns:a16="http://schemas.microsoft.com/office/drawing/2014/main" id="{00000000-0008-0000-0100-000068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21" name="Text Box 3">
          <a:extLst>
            <a:ext uri="{FF2B5EF4-FFF2-40B4-BE49-F238E27FC236}">
              <a16:creationId xmlns:a16="http://schemas.microsoft.com/office/drawing/2014/main" id="{00000000-0008-0000-0100-000069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22" name="Text Box 32">
          <a:extLst>
            <a:ext uri="{FF2B5EF4-FFF2-40B4-BE49-F238E27FC236}">
              <a16:creationId xmlns:a16="http://schemas.microsoft.com/office/drawing/2014/main" id="{00000000-0008-0000-0100-00006A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23" name="Text Box 3">
          <a:extLst>
            <a:ext uri="{FF2B5EF4-FFF2-40B4-BE49-F238E27FC236}">
              <a16:creationId xmlns:a16="http://schemas.microsoft.com/office/drawing/2014/main" id="{00000000-0008-0000-0100-00006B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24" name="Text Box 63">
          <a:extLst>
            <a:ext uri="{FF2B5EF4-FFF2-40B4-BE49-F238E27FC236}">
              <a16:creationId xmlns:a16="http://schemas.microsoft.com/office/drawing/2014/main" id="{00000000-0008-0000-0100-00006C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25" name="Text Box 3">
          <a:extLst>
            <a:ext uri="{FF2B5EF4-FFF2-40B4-BE49-F238E27FC236}">
              <a16:creationId xmlns:a16="http://schemas.microsoft.com/office/drawing/2014/main" id="{00000000-0008-0000-0100-00006D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26" name="Text Box 32">
          <a:extLst>
            <a:ext uri="{FF2B5EF4-FFF2-40B4-BE49-F238E27FC236}">
              <a16:creationId xmlns:a16="http://schemas.microsoft.com/office/drawing/2014/main" id="{00000000-0008-0000-0100-00006E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27" name="Text Box 3">
          <a:extLst>
            <a:ext uri="{FF2B5EF4-FFF2-40B4-BE49-F238E27FC236}">
              <a16:creationId xmlns:a16="http://schemas.microsoft.com/office/drawing/2014/main" id="{00000000-0008-0000-0100-00006F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28" name="Text Box 63">
          <a:extLst>
            <a:ext uri="{FF2B5EF4-FFF2-40B4-BE49-F238E27FC236}">
              <a16:creationId xmlns:a16="http://schemas.microsoft.com/office/drawing/2014/main" id="{00000000-0008-0000-0100-000070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29" name="Text Box 3">
          <a:extLst>
            <a:ext uri="{FF2B5EF4-FFF2-40B4-BE49-F238E27FC236}">
              <a16:creationId xmlns:a16="http://schemas.microsoft.com/office/drawing/2014/main" id="{00000000-0008-0000-0100-000071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30" name="Text Box 32">
          <a:extLst>
            <a:ext uri="{FF2B5EF4-FFF2-40B4-BE49-F238E27FC236}">
              <a16:creationId xmlns:a16="http://schemas.microsoft.com/office/drawing/2014/main" id="{00000000-0008-0000-0100-000072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31" name="Text Box 3">
          <a:extLst>
            <a:ext uri="{FF2B5EF4-FFF2-40B4-BE49-F238E27FC236}">
              <a16:creationId xmlns:a16="http://schemas.microsoft.com/office/drawing/2014/main" id="{00000000-0008-0000-0100-000073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32" name="Text Box 63">
          <a:extLst>
            <a:ext uri="{FF2B5EF4-FFF2-40B4-BE49-F238E27FC236}">
              <a16:creationId xmlns:a16="http://schemas.microsoft.com/office/drawing/2014/main" id="{00000000-0008-0000-0100-000074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33" name="Text Box 3">
          <a:extLst>
            <a:ext uri="{FF2B5EF4-FFF2-40B4-BE49-F238E27FC236}">
              <a16:creationId xmlns:a16="http://schemas.microsoft.com/office/drawing/2014/main" id="{00000000-0008-0000-0100-000075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34" name="Text Box 32">
          <a:extLst>
            <a:ext uri="{FF2B5EF4-FFF2-40B4-BE49-F238E27FC236}">
              <a16:creationId xmlns:a16="http://schemas.microsoft.com/office/drawing/2014/main" id="{00000000-0008-0000-0100-000076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35" name="Text Box 3">
          <a:extLst>
            <a:ext uri="{FF2B5EF4-FFF2-40B4-BE49-F238E27FC236}">
              <a16:creationId xmlns:a16="http://schemas.microsoft.com/office/drawing/2014/main" id="{00000000-0008-0000-0100-000077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36" name="Text Box 63">
          <a:extLst>
            <a:ext uri="{FF2B5EF4-FFF2-40B4-BE49-F238E27FC236}">
              <a16:creationId xmlns:a16="http://schemas.microsoft.com/office/drawing/2014/main" id="{00000000-0008-0000-0100-000078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37" name="Text Box 3">
          <a:extLst>
            <a:ext uri="{FF2B5EF4-FFF2-40B4-BE49-F238E27FC236}">
              <a16:creationId xmlns:a16="http://schemas.microsoft.com/office/drawing/2014/main" id="{00000000-0008-0000-0100-000079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38" name="Text Box 32">
          <a:extLst>
            <a:ext uri="{FF2B5EF4-FFF2-40B4-BE49-F238E27FC236}">
              <a16:creationId xmlns:a16="http://schemas.microsoft.com/office/drawing/2014/main" id="{00000000-0008-0000-0100-00007A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39" name="Text Box 3">
          <a:extLst>
            <a:ext uri="{FF2B5EF4-FFF2-40B4-BE49-F238E27FC236}">
              <a16:creationId xmlns:a16="http://schemas.microsoft.com/office/drawing/2014/main" id="{00000000-0008-0000-0100-00007B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40" name="Text Box 63">
          <a:extLst>
            <a:ext uri="{FF2B5EF4-FFF2-40B4-BE49-F238E27FC236}">
              <a16:creationId xmlns:a16="http://schemas.microsoft.com/office/drawing/2014/main" id="{00000000-0008-0000-0100-00007C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41" name="Text Box 3">
          <a:extLst>
            <a:ext uri="{FF2B5EF4-FFF2-40B4-BE49-F238E27FC236}">
              <a16:creationId xmlns:a16="http://schemas.microsoft.com/office/drawing/2014/main" id="{00000000-0008-0000-0100-00007D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42" name="Text Box 32">
          <a:extLst>
            <a:ext uri="{FF2B5EF4-FFF2-40B4-BE49-F238E27FC236}">
              <a16:creationId xmlns:a16="http://schemas.microsoft.com/office/drawing/2014/main" id="{00000000-0008-0000-0100-00007E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43" name="Text Box 3">
          <a:extLst>
            <a:ext uri="{FF2B5EF4-FFF2-40B4-BE49-F238E27FC236}">
              <a16:creationId xmlns:a16="http://schemas.microsoft.com/office/drawing/2014/main" id="{00000000-0008-0000-0100-00007F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44" name="Text Box 63">
          <a:extLst>
            <a:ext uri="{FF2B5EF4-FFF2-40B4-BE49-F238E27FC236}">
              <a16:creationId xmlns:a16="http://schemas.microsoft.com/office/drawing/2014/main" id="{00000000-0008-0000-0100-000080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45" name="Text Box 3">
          <a:extLst>
            <a:ext uri="{FF2B5EF4-FFF2-40B4-BE49-F238E27FC236}">
              <a16:creationId xmlns:a16="http://schemas.microsoft.com/office/drawing/2014/main" id="{00000000-0008-0000-0100-000081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46" name="Text Box 32">
          <a:extLst>
            <a:ext uri="{FF2B5EF4-FFF2-40B4-BE49-F238E27FC236}">
              <a16:creationId xmlns:a16="http://schemas.microsoft.com/office/drawing/2014/main" id="{00000000-0008-0000-0100-000082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47" name="Text Box 3">
          <a:extLst>
            <a:ext uri="{FF2B5EF4-FFF2-40B4-BE49-F238E27FC236}">
              <a16:creationId xmlns:a16="http://schemas.microsoft.com/office/drawing/2014/main" id="{00000000-0008-0000-0100-000083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48" name="Text Box 63">
          <a:extLst>
            <a:ext uri="{FF2B5EF4-FFF2-40B4-BE49-F238E27FC236}">
              <a16:creationId xmlns:a16="http://schemas.microsoft.com/office/drawing/2014/main" id="{00000000-0008-0000-0100-000084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49" name="Text Box 3">
          <a:extLst>
            <a:ext uri="{FF2B5EF4-FFF2-40B4-BE49-F238E27FC236}">
              <a16:creationId xmlns:a16="http://schemas.microsoft.com/office/drawing/2014/main" id="{00000000-0008-0000-0100-000085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50" name="Text Box 32">
          <a:extLst>
            <a:ext uri="{FF2B5EF4-FFF2-40B4-BE49-F238E27FC236}">
              <a16:creationId xmlns:a16="http://schemas.microsoft.com/office/drawing/2014/main" id="{00000000-0008-0000-0100-000086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51" name="Text Box 3">
          <a:extLst>
            <a:ext uri="{FF2B5EF4-FFF2-40B4-BE49-F238E27FC236}">
              <a16:creationId xmlns:a16="http://schemas.microsoft.com/office/drawing/2014/main" id="{00000000-0008-0000-0100-000087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52" name="Text Box 63">
          <a:extLst>
            <a:ext uri="{FF2B5EF4-FFF2-40B4-BE49-F238E27FC236}">
              <a16:creationId xmlns:a16="http://schemas.microsoft.com/office/drawing/2014/main" id="{00000000-0008-0000-0100-000088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53" name="Text Box 32">
          <a:extLst>
            <a:ext uri="{FF2B5EF4-FFF2-40B4-BE49-F238E27FC236}">
              <a16:creationId xmlns:a16="http://schemas.microsoft.com/office/drawing/2014/main" id="{00000000-0008-0000-0100-000089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54" name="Text Box 3">
          <a:extLst>
            <a:ext uri="{FF2B5EF4-FFF2-40B4-BE49-F238E27FC236}">
              <a16:creationId xmlns:a16="http://schemas.microsoft.com/office/drawing/2014/main" id="{00000000-0008-0000-0100-00008A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55" name="Text Box 63">
          <a:extLst>
            <a:ext uri="{FF2B5EF4-FFF2-40B4-BE49-F238E27FC236}">
              <a16:creationId xmlns:a16="http://schemas.microsoft.com/office/drawing/2014/main" id="{00000000-0008-0000-0100-00008B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56" name="Text Box 3">
          <a:extLst>
            <a:ext uri="{FF2B5EF4-FFF2-40B4-BE49-F238E27FC236}">
              <a16:creationId xmlns:a16="http://schemas.microsoft.com/office/drawing/2014/main" id="{00000000-0008-0000-0100-00008C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57" name="Text Box 32">
          <a:extLst>
            <a:ext uri="{FF2B5EF4-FFF2-40B4-BE49-F238E27FC236}">
              <a16:creationId xmlns:a16="http://schemas.microsoft.com/office/drawing/2014/main" id="{00000000-0008-0000-0100-00008D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58" name="Text Box 3">
          <a:extLst>
            <a:ext uri="{FF2B5EF4-FFF2-40B4-BE49-F238E27FC236}">
              <a16:creationId xmlns:a16="http://schemas.microsoft.com/office/drawing/2014/main" id="{00000000-0008-0000-0100-00008E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59" name="Text Box 63">
          <a:extLst>
            <a:ext uri="{FF2B5EF4-FFF2-40B4-BE49-F238E27FC236}">
              <a16:creationId xmlns:a16="http://schemas.microsoft.com/office/drawing/2014/main" id="{00000000-0008-0000-0100-00008F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60" name="Text Box 3">
          <a:extLst>
            <a:ext uri="{FF2B5EF4-FFF2-40B4-BE49-F238E27FC236}">
              <a16:creationId xmlns:a16="http://schemas.microsoft.com/office/drawing/2014/main" id="{00000000-0008-0000-0100-000090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61" name="Text Box 32">
          <a:extLst>
            <a:ext uri="{FF2B5EF4-FFF2-40B4-BE49-F238E27FC236}">
              <a16:creationId xmlns:a16="http://schemas.microsoft.com/office/drawing/2014/main" id="{00000000-0008-0000-0100-000091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62" name="Text Box 3">
          <a:extLst>
            <a:ext uri="{FF2B5EF4-FFF2-40B4-BE49-F238E27FC236}">
              <a16:creationId xmlns:a16="http://schemas.microsoft.com/office/drawing/2014/main" id="{00000000-0008-0000-0100-000092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63" name="Text Box 63">
          <a:extLst>
            <a:ext uri="{FF2B5EF4-FFF2-40B4-BE49-F238E27FC236}">
              <a16:creationId xmlns:a16="http://schemas.microsoft.com/office/drawing/2014/main" id="{00000000-0008-0000-0100-000093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64" name="Text Box 3">
          <a:extLst>
            <a:ext uri="{FF2B5EF4-FFF2-40B4-BE49-F238E27FC236}">
              <a16:creationId xmlns:a16="http://schemas.microsoft.com/office/drawing/2014/main" id="{00000000-0008-0000-0100-000094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65" name="Text Box 32">
          <a:extLst>
            <a:ext uri="{FF2B5EF4-FFF2-40B4-BE49-F238E27FC236}">
              <a16:creationId xmlns:a16="http://schemas.microsoft.com/office/drawing/2014/main" id="{00000000-0008-0000-0100-000095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66" name="Text Box 3">
          <a:extLst>
            <a:ext uri="{FF2B5EF4-FFF2-40B4-BE49-F238E27FC236}">
              <a16:creationId xmlns:a16="http://schemas.microsoft.com/office/drawing/2014/main" id="{00000000-0008-0000-0100-000096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67" name="Text Box 63">
          <a:extLst>
            <a:ext uri="{FF2B5EF4-FFF2-40B4-BE49-F238E27FC236}">
              <a16:creationId xmlns:a16="http://schemas.microsoft.com/office/drawing/2014/main" id="{00000000-0008-0000-0100-000097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68" name="Text Box 3">
          <a:extLst>
            <a:ext uri="{FF2B5EF4-FFF2-40B4-BE49-F238E27FC236}">
              <a16:creationId xmlns:a16="http://schemas.microsoft.com/office/drawing/2014/main" id="{00000000-0008-0000-0100-000098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69" name="Text Box 32">
          <a:extLst>
            <a:ext uri="{FF2B5EF4-FFF2-40B4-BE49-F238E27FC236}">
              <a16:creationId xmlns:a16="http://schemas.microsoft.com/office/drawing/2014/main" id="{00000000-0008-0000-0100-000099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70" name="Text Box 3">
          <a:extLst>
            <a:ext uri="{FF2B5EF4-FFF2-40B4-BE49-F238E27FC236}">
              <a16:creationId xmlns:a16="http://schemas.microsoft.com/office/drawing/2014/main" id="{00000000-0008-0000-0100-00009A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71" name="Text Box 63">
          <a:extLst>
            <a:ext uri="{FF2B5EF4-FFF2-40B4-BE49-F238E27FC236}">
              <a16:creationId xmlns:a16="http://schemas.microsoft.com/office/drawing/2014/main" id="{00000000-0008-0000-0100-00009B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72" name="Text Box 3">
          <a:extLst>
            <a:ext uri="{FF2B5EF4-FFF2-40B4-BE49-F238E27FC236}">
              <a16:creationId xmlns:a16="http://schemas.microsoft.com/office/drawing/2014/main" id="{00000000-0008-0000-0100-00009C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73" name="Text Box 32">
          <a:extLst>
            <a:ext uri="{FF2B5EF4-FFF2-40B4-BE49-F238E27FC236}">
              <a16:creationId xmlns:a16="http://schemas.microsoft.com/office/drawing/2014/main" id="{00000000-0008-0000-0100-00009D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74" name="Text Box 3">
          <a:extLst>
            <a:ext uri="{FF2B5EF4-FFF2-40B4-BE49-F238E27FC236}">
              <a16:creationId xmlns:a16="http://schemas.microsoft.com/office/drawing/2014/main" id="{00000000-0008-0000-0100-00009E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75" name="Text Box 63">
          <a:extLst>
            <a:ext uri="{FF2B5EF4-FFF2-40B4-BE49-F238E27FC236}">
              <a16:creationId xmlns:a16="http://schemas.microsoft.com/office/drawing/2014/main" id="{00000000-0008-0000-0100-00009F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76" name="Text Box 3">
          <a:extLst>
            <a:ext uri="{FF2B5EF4-FFF2-40B4-BE49-F238E27FC236}">
              <a16:creationId xmlns:a16="http://schemas.microsoft.com/office/drawing/2014/main" id="{00000000-0008-0000-0100-0000A0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77" name="Text Box 32">
          <a:extLst>
            <a:ext uri="{FF2B5EF4-FFF2-40B4-BE49-F238E27FC236}">
              <a16:creationId xmlns:a16="http://schemas.microsoft.com/office/drawing/2014/main" id="{00000000-0008-0000-0100-0000A1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78" name="Text Box 3">
          <a:extLst>
            <a:ext uri="{FF2B5EF4-FFF2-40B4-BE49-F238E27FC236}">
              <a16:creationId xmlns:a16="http://schemas.microsoft.com/office/drawing/2014/main" id="{00000000-0008-0000-0100-0000A2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79" name="Text Box 63">
          <a:extLst>
            <a:ext uri="{FF2B5EF4-FFF2-40B4-BE49-F238E27FC236}">
              <a16:creationId xmlns:a16="http://schemas.microsoft.com/office/drawing/2014/main" id="{00000000-0008-0000-0100-0000A3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80" name="Text Box 3">
          <a:extLst>
            <a:ext uri="{FF2B5EF4-FFF2-40B4-BE49-F238E27FC236}">
              <a16:creationId xmlns:a16="http://schemas.microsoft.com/office/drawing/2014/main" id="{00000000-0008-0000-0100-0000A4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81" name="Text Box 32">
          <a:extLst>
            <a:ext uri="{FF2B5EF4-FFF2-40B4-BE49-F238E27FC236}">
              <a16:creationId xmlns:a16="http://schemas.microsoft.com/office/drawing/2014/main" id="{00000000-0008-0000-0100-0000A5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82" name="Text Box 3">
          <a:extLst>
            <a:ext uri="{FF2B5EF4-FFF2-40B4-BE49-F238E27FC236}">
              <a16:creationId xmlns:a16="http://schemas.microsoft.com/office/drawing/2014/main" id="{00000000-0008-0000-0100-0000A6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83" name="Text Box 63">
          <a:extLst>
            <a:ext uri="{FF2B5EF4-FFF2-40B4-BE49-F238E27FC236}">
              <a16:creationId xmlns:a16="http://schemas.microsoft.com/office/drawing/2014/main" id="{00000000-0008-0000-0100-0000A7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84" name="Text Box 3">
          <a:extLst>
            <a:ext uri="{FF2B5EF4-FFF2-40B4-BE49-F238E27FC236}">
              <a16:creationId xmlns:a16="http://schemas.microsoft.com/office/drawing/2014/main" id="{00000000-0008-0000-0100-0000A8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85" name="Text Box 32">
          <a:extLst>
            <a:ext uri="{FF2B5EF4-FFF2-40B4-BE49-F238E27FC236}">
              <a16:creationId xmlns:a16="http://schemas.microsoft.com/office/drawing/2014/main" id="{00000000-0008-0000-0100-0000A9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86" name="Text Box 3">
          <a:extLst>
            <a:ext uri="{FF2B5EF4-FFF2-40B4-BE49-F238E27FC236}">
              <a16:creationId xmlns:a16="http://schemas.microsoft.com/office/drawing/2014/main" id="{00000000-0008-0000-0100-0000AA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87" name="Text Box 63">
          <a:extLst>
            <a:ext uri="{FF2B5EF4-FFF2-40B4-BE49-F238E27FC236}">
              <a16:creationId xmlns:a16="http://schemas.microsoft.com/office/drawing/2014/main" id="{00000000-0008-0000-0100-0000AB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88" name="Text Box 3">
          <a:extLst>
            <a:ext uri="{FF2B5EF4-FFF2-40B4-BE49-F238E27FC236}">
              <a16:creationId xmlns:a16="http://schemas.microsoft.com/office/drawing/2014/main" id="{00000000-0008-0000-0100-0000AC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89" name="Text Box 32">
          <a:extLst>
            <a:ext uri="{FF2B5EF4-FFF2-40B4-BE49-F238E27FC236}">
              <a16:creationId xmlns:a16="http://schemas.microsoft.com/office/drawing/2014/main" id="{00000000-0008-0000-0100-0000AD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90" name="Text Box 3">
          <a:extLst>
            <a:ext uri="{FF2B5EF4-FFF2-40B4-BE49-F238E27FC236}">
              <a16:creationId xmlns:a16="http://schemas.microsoft.com/office/drawing/2014/main" id="{00000000-0008-0000-0100-0000AE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91" name="Text Box 63">
          <a:extLst>
            <a:ext uri="{FF2B5EF4-FFF2-40B4-BE49-F238E27FC236}">
              <a16:creationId xmlns:a16="http://schemas.microsoft.com/office/drawing/2014/main" id="{00000000-0008-0000-0100-0000AF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92" name="Text Box 3">
          <a:extLst>
            <a:ext uri="{FF2B5EF4-FFF2-40B4-BE49-F238E27FC236}">
              <a16:creationId xmlns:a16="http://schemas.microsoft.com/office/drawing/2014/main" id="{00000000-0008-0000-0100-0000B0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93" name="Text Box 32">
          <a:extLst>
            <a:ext uri="{FF2B5EF4-FFF2-40B4-BE49-F238E27FC236}">
              <a16:creationId xmlns:a16="http://schemas.microsoft.com/office/drawing/2014/main" id="{00000000-0008-0000-0100-0000B1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94" name="Text Box 3">
          <a:extLst>
            <a:ext uri="{FF2B5EF4-FFF2-40B4-BE49-F238E27FC236}">
              <a16:creationId xmlns:a16="http://schemas.microsoft.com/office/drawing/2014/main" id="{00000000-0008-0000-0100-0000B2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95" name="Text Box 63">
          <a:extLst>
            <a:ext uri="{FF2B5EF4-FFF2-40B4-BE49-F238E27FC236}">
              <a16:creationId xmlns:a16="http://schemas.microsoft.com/office/drawing/2014/main" id="{00000000-0008-0000-0100-0000B3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96" name="Text Box 3">
          <a:extLst>
            <a:ext uri="{FF2B5EF4-FFF2-40B4-BE49-F238E27FC236}">
              <a16:creationId xmlns:a16="http://schemas.microsoft.com/office/drawing/2014/main" id="{00000000-0008-0000-0100-0000B4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97" name="Text Box 32">
          <a:extLst>
            <a:ext uri="{FF2B5EF4-FFF2-40B4-BE49-F238E27FC236}">
              <a16:creationId xmlns:a16="http://schemas.microsoft.com/office/drawing/2014/main" id="{00000000-0008-0000-0100-0000B5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2998" name="Text Box 3">
          <a:extLst>
            <a:ext uri="{FF2B5EF4-FFF2-40B4-BE49-F238E27FC236}">
              <a16:creationId xmlns:a16="http://schemas.microsoft.com/office/drawing/2014/main" id="{00000000-0008-0000-0100-0000B6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2999" name="Text Box 63">
          <a:extLst>
            <a:ext uri="{FF2B5EF4-FFF2-40B4-BE49-F238E27FC236}">
              <a16:creationId xmlns:a16="http://schemas.microsoft.com/office/drawing/2014/main" id="{00000000-0008-0000-0100-0000B7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00" name="Text Box 3">
          <a:extLst>
            <a:ext uri="{FF2B5EF4-FFF2-40B4-BE49-F238E27FC236}">
              <a16:creationId xmlns:a16="http://schemas.microsoft.com/office/drawing/2014/main" id="{00000000-0008-0000-0100-0000B8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01" name="Text Box 32">
          <a:extLst>
            <a:ext uri="{FF2B5EF4-FFF2-40B4-BE49-F238E27FC236}">
              <a16:creationId xmlns:a16="http://schemas.microsoft.com/office/drawing/2014/main" id="{00000000-0008-0000-0100-0000B9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02" name="Text Box 3">
          <a:extLst>
            <a:ext uri="{FF2B5EF4-FFF2-40B4-BE49-F238E27FC236}">
              <a16:creationId xmlns:a16="http://schemas.microsoft.com/office/drawing/2014/main" id="{00000000-0008-0000-0100-0000BA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03" name="Text Box 63">
          <a:extLst>
            <a:ext uri="{FF2B5EF4-FFF2-40B4-BE49-F238E27FC236}">
              <a16:creationId xmlns:a16="http://schemas.microsoft.com/office/drawing/2014/main" id="{00000000-0008-0000-0100-0000BB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04" name="Text Box 3">
          <a:extLst>
            <a:ext uri="{FF2B5EF4-FFF2-40B4-BE49-F238E27FC236}">
              <a16:creationId xmlns:a16="http://schemas.microsoft.com/office/drawing/2014/main" id="{00000000-0008-0000-0100-0000BC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05" name="Text Box 32">
          <a:extLst>
            <a:ext uri="{FF2B5EF4-FFF2-40B4-BE49-F238E27FC236}">
              <a16:creationId xmlns:a16="http://schemas.microsoft.com/office/drawing/2014/main" id="{00000000-0008-0000-0100-0000BD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06" name="Text Box 3">
          <a:extLst>
            <a:ext uri="{FF2B5EF4-FFF2-40B4-BE49-F238E27FC236}">
              <a16:creationId xmlns:a16="http://schemas.microsoft.com/office/drawing/2014/main" id="{00000000-0008-0000-0100-0000BE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07" name="Text Box 63">
          <a:extLst>
            <a:ext uri="{FF2B5EF4-FFF2-40B4-BE49-F238E27FC236}">
              <a16:creationId xmlns:a16="http://schemas.microsoft.com/office/drawing/2014/main" id="{00000000-0008-0000-0100-0000BF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08" name="Text Box 3">
          <a:extLst>
            <a:ext uri="{FF2B5EF4-FFF2-40B4-BE49-F238E27FC236}">
              <a16:creationId xmlns:a16="http://schemas.microsoft.com/office/drawing/2014/main" id="{00000000-0008-0000-0100-0000C0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09" name="Text Box 32">
          <a:extLst>
            <a:ext uri="{FF2B5EF4-FFF2-40B4-BE49-F238E27FC236}">
              <a16:creationId xmlns:a16="http://schemas.microsoft.com/office/drawing/2014/main" id="{00000000-0008-0000-0100-0000C1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10" name="Text Box 3">
          <a:extLst>
            <a:ext uri="{FF2B5EF4-FFF2-40B4-BE49-F238E27FC236}">
              <a16:creationId xmlns:a16="http://schemas.microsoft.com/office/drawing/2014/main" id="{00000000-0008-0000-0100-0000C2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11" name="Text Box 63">
          <a:extLst>
            <a:ext uri="{FF2B5EF4-FFF2-40B4-BE49-F238E27FC236}">
              <a16:creationId xmlns:a16="http://schemas.microsoft.com/office/drawing/2014/main" id="{00000000-0008-0000-0100-0000C3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12" name="Text Box 3">
          <a:extLst>
            <a:ext uri="{FF2B5EF4-FFF2-40B4-BE49-F238E27FC236}">
              <a16:creationId xmlns:a16="http://schemas.microsoft.com/office/drawing/2014/main" id="{00000000-0008-0000-0100-0000C4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13" name="Text Box 32">
          <a:extLst>
            <a:ext uri="{FF2B5EF4-FFF2-40B4-BE49-F238E27FC236}">
              <a16:creationId xmlns:a16="http://schemas.microsoft.com/office/drawing/2014/main" id="{00000000-0008-0000-0100-0000C5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14" name="Text Box 3">
          <a:extLst>
            <a:ext uri="{FF2B5EF4-FFF2-40B4-BE49-F238E27FC236}">
              <a16:creationId xmlns:a16="http://schemas.microsoft.com/office/drawing/2014/main" id="{00000000-0008-0000-0100-0000C6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15" name="Text Box 63">
          <a:extLst>
            <a:ext uri="{FF2B5EF4-FFF2-40B4-BE49-F238E27FC236}">
              <a16:creationId xmlns:a16="http://schemas.microsoft.com/office/drawing/2014/main" id="{00000000-0008-0000-0100-0000C7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16" name="Text Box 3">
          <a:extLst>
            <a:ext uri="{FF2B5EF4-FFF2-40B4-BE49-F238E27FC236}">
              <a16:creationId xmlns:a16="http://schemas.microsoft.com/office/drawing/2014/main" id="{00000000-0008-0000-0100-0000C8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17" name="Text Box 32">
          <a:extLst>
            <a:ext uri="{FF2B5EF4-FFF2-40B4-BE49-F238E27FC236}">
              <a16:creationId xmlns:a16="http://schemas.microsoft.com/office/drawing/2014/main" id="{00000000-0008-0000-0100-0000C9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18" name="Text Box 3">
          <a:extLst>
            <a:ext uri="{FF2B5EF4-FFF2-40B4-BE49-F238E27FC236}">
              <a16:creationId xmlns:a16="http://schemas.microsoft.com/office/drawing/2014/main" id="{00000000-0008-0000-0100-0000CA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19" name="Text Box 63">
          <a:extLst>
            <a:ext uri="{FF2B5EF4-FFF2-40B4-BE49-F238E27FC236}">
              <a16:creationId xmlns:a16="http://schemas.microsoft.com/office/drawing/2014/main" id="{00000000-0008-0000-0100-0000CB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20" name="Text Box 3">
          <a:extLst>
            <a:ext uri="{FF2B5EF4-FFF2-40B4-BE49-F238E27FC236}">
              <a16:creationId xmlns:a16="http://schemas.microsoft.com/office/drawing/2014/main" id="{00000000-0008-0000-0100-0000CC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21" name="Text Box 32">
          <a:extLst>
            <a:ext uri="{FF2B5EF4-FFF2-40B4-BE49-F238E27FC236}">
              <a16:creationId xmlns:a16="http://schemas.microsoft.com/office/drawing/2014/main" id="{00000000-0008-0000-0100-0000CD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22" name="Text Box 3">
          <a:extLst>
            <a:ext uri="{FF2B5EF4-FFF2-40B4-BE49-F238E27FC236}">
              <a16:creationId xmlns:a16="http://schemas.microsoft.com/office/drawing/2014/main" id="{00000000-0008-0000-0100-0000CE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23" name="Text Box 63">
          <a:extLst>
            <a:ext uri="{FF2B5EF4-FFF2-40B4-BE49-F238E27FC236}">
              <a16:creationId xmlns:a16="http://schemas.microsoft.com/office/drawing/2014/main" id="{00000000-0008-0000-0100-0000CF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24" name="Text Box 3">
          <a:extLst>
            <a:ext uri="{FF2B5EF4-FFF2-40B4-BE49-F238E27FC236}">
              <a16:creationId xmlns:a16="http://schemas.microsoft.com/office/drawing/2014/main" id="{00000000-0008-0000-0100-0000D0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25" name="Text Box 32">
          <a:extLst>
            <a:ext uri="{FF2B5EF4-FFF2-40B4-BE49-F238E27FC236}">
              <a16:creationId xmlns:a16="http://schemas.microsoft.com/office/drawing/2014/main" id="{00000000-0008-0000-0100-0000D1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26" name="Text Box 3">
          <a:extLst>
            <a:ext uri="{FF2B5EF4-FFF2-40B4-BE49-F238E27FC236}">
              <a16:creationId xmlns:a16="http://schemas.microsoft.com/office/drawing/2014/main" id="{00000000-0008-0000-0100-0000D2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27" name="Text Box 63">
          <a:extLst>
            <a:ext uri="{FF2B5EF4-FFF2-40B4-BE49-F238E27FC236}">
              <a16:creationId xmlns:a16="http://schemas.microsoft.com/office/drawing/2014/main" id="{00000000-0008-0000-0100-0000D3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28" name="Text Box 3">
          <a:extLst>
            <a:ext uri="{FF2B5EF4-FFF2-40B4-BE49-F238E27FC236}">
              <a16:creationId xmlns:a16="http://schemas.microsoft.com/office/drawing/2014/main" id="{00000000-0008-0000-0100-0000D4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29" name="Text Box 32">
          <a:extLst>
            <a:ext uri="{FF2B5EF4-FFF2-40B4-BE49-F238E27FC236}">
              <a16:creationId xmlns:a16="http://schemas.microsoft.com/office/drawing/2014/main" id="{00000000-0008-0000-0100-0000D5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30" name="Text Box 3">
          <a:extLst>
            <a:ext uri="{FF2B5EF4-FFF2-40B4-BE49-F238E27FC236}">
              <a16:creationId xmlns:a16="http://schemas.microsoft.com/office/drawing/2014/main" id="{00000000-0008-0000-0100-0000D6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31" name="Text Box 63">
          <a:extLst>
            <a:ext uri="{FF2B5EF4-FFF2-40B4-BE49-F238E27FC236}">
              <a16:creationId xmlns:a16="http://schemas.microsoft.com/office/drawing/2014/main" id="{00000000-0008-0000-0100-0000D7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32" name="Text Box 3">
          <a:extLst>
            <a:ext uri="{FF2B5EF4-FFF2-40B4-BE49-F238E27FC236}">
              <a16:creationId xmlns:a16="http://schemas.microsoft.com/office/drawing/2014/main" id="{00000000-0008-0000-0100-0000D8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33" name="Text Box 32">
          <a:extLst>
            <a:ext uri="{FF2B5EF4-FFF2-40B4-BE49-F238E27FC236}">
              <a16:creationId xmlns:a16="http://schemas.microsoft.com/office/drawing/2014/main" id="{00000000-0008-0000-0100-0000D9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34" name="Text Box 3">
          <a:extLst>
            <a:ext uri="{FF2B5EF4-FFF2-40B4-BE49-F238E27FC236}">
              <a16:creationId xmlns:a16="http://schemas.microsoft.com/office/drawing/2014/main" id="{00000000-0008-0000-0100-0000DA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35" name="Text Box 63">
          <a:extLst>
            <a:ext uri="{FF2B5EF4-FFF2-40B4-BE49-F238E27FC236}">
              <a16:creationId xmlns:a16="http://schemas.microsoft.com/office/drawing/2014/main" id="{00000000-0008-0000-0100-0000DB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36" name="Text Box 3">
          <a:extLst>
            <a:ext uri="{FF2B5EF4-FFF2-40B4-BE49-F238E27FC236}">
              <a16:creationId xmlns:a16="http://schemas.microsoft.com/office/drawing/2014/main" id="{00000000-0008-0000-0100-0000DC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37" name="Text Box 32">
          <a:extLst>
            <a:ext uri="{FF2B5EF4-FFF2-40B4-BE49-F238E27FC236}">
              <a16:creationId xmlns:a16="http://schemas.microsoft.com/office/drawing/2014/main" id="{00000000-0008-0000-0100-0000DD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38" name="Text Box 3">
          <a:extLst>
            <a:ext uri="{FF2B5EF4-FFF2-40B4-BE49-F238E27FC236}">
              <a16:creationId xmlns:a16="http://schemas.microsoft.com/office/drawing/2014/main" id="{00000000-0008-0000-0100-0000DE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39" name="Text Box 63">
          <a:extLst>
            <a:ext uri="{FF2B5EF4-FFF2-40B4-BE49-F238E27FC236}">
              <a16:creationId xmlns:a16="http://schemas.microsoft.com/office/drawing/2014/main" id="{00000000-0008-0000-0100-0000DF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40" name="Text Box 3">
          <a:extLst>
            <a:ext uri="{FF2B5EF4-FFF2-40B4-BE49-F238E27FC236}">
              <a16:creationId xmlns:a16="http://schemas.microsoft.com/office/drawing/2014/main" id="{00000000-0008-0000-0100-0000E0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41" name="Text Box 32">
          <a:extLst>
            <a:ext uri="{FF2B5EF4-FFF2-40B4-BE49-F238E27FC236}">
              <a16:creationId xmlns:a16="http://schemas.microsoft.com/office/drawing/2014/main" id="{00000000-0008-0000-0100-0000E1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42" name="Text Box 3">
          <a:extLst>
            <a:ext uri="{FF2B5EF4-FFF2-40B4-BE49-F238E27FC236}">
              <a16:creationId xmlns:a16="http://schemas.microsoft.com/office/drawing/2014/main" id="{00000000-0008-0000-0100-0000E2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43" name="Text Box 63">
          <a:extLst>
            <a:ext uri="{FF2B5EF4-FFF2-40B4-BE49-F238E27FC236}">
              <a16:creationId xmlns:a16="http://schemas.microsoft.com/office/drawing/2014/main" id="{00000000-0008-0000-0100-0000E3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44" name="Text Box 3">
          <a:extLst>
            <a:ext uri="{FF2B5EF4-FFF2-40B4-BE49-F238E27FC236}">
              <a16:creationId xmlns:a16="http://schemas.microsoft.com/office/drawing/2014/main" id="{00000000-0008-0000-0100-0000E4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45" name="Text Box 32">
          <a:extLst>
            <a:ext uri="{FF2B5EF4-FFF2-40B4-BE49-F238E27FC236}">
              <a16:creationId xmlns:a16="http://schemas.microsoft.com/office/drawing/2014/main" id="{00000000-0008-0000-0100-0000E5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46" name="Text Box 3">
          <a:extLst>
            <a:ext uri="{FF2B5EF4-FFF2-40B4-BE49-F238E27FC236}">
              <a16:creationId xmlns:a16="http://schemas.microsoft.com/office/drawing/2014/main" id="{00000000-0008-0000-0100-0000E6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47" name="Text Box 63">
          <a:extLst>
            <a:ext uri="{FF2B5EF4-FFF2-40B4-BE49-F238E27FC236}">
              <a16:creationId xmlns:a16="http://schemas.microsoft.com/office/drawing/2014/main" id="{00000000-0008-0000-0100-0000E7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48" name="Text Box 3">
          <a:extLst>
            <a:ext uri="{FF2B5EF4-FFF2-40B4-BE49-F238E27FC236}">
              <a16:creationId xmlns:a16="http://schemas.microsoft.com/office/drawing/2014/main" id="{00000000-0008-0000-0100-0000E8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49" name="Text Box 32">
          <a:extLst>
            <a:ext uri="{FF2B5EF4-FFF2-40B4-BE49-F238E27FC236}">
              <a16:creationId xmlns:a16="http://schemas.microsoft.com/office/drawing/2014/main" id="{00000000-0008-0000-0100-0000E9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50" name="Text Box 3">
          <a:extLst>
            <a:ext uri="{FF2B5EF4-FFF2-40B4-BE49-F238E27FC236}">
              <a16:creationId xmlns:a16="http://schemas.microsoft.com/office/drawing/2014/main" id="{00000000-0008-0000-0100-0000EA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51" name="Text Box 63">
          <a:extLst>
            <a:ext uri="{FF2B5EF4-FFF2-40B4-BE49-F238E27FC236}">
              <a16:creationId xmlns:a16="http://schemas.microsoft.com/office/drawing/2014/main" id="{00000000-0008-0000-0100-0000EB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52" name="Text Box 3">
          <a:extLst>
            <a:ext uri="{FF2B5EF4-FFF2-40B4-BE49-F238E27FC236}">
              <a16:creationId xmlns:a16="http://schemas.microsoft.com/office/drawing/2014/main" id="{00000000-0008-0000-0100-0000EC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53" name="Text Box 32">
          <a:extLst>
            <a:ext uri="{FF2B5EF4-FFF2-40B4-BE49-F238E27FC236}">
              <a16:creationId xmlns:a16="http://schemas.microsoft.com/office/drawing/2014/main" id="{00000000-0008-0000-0100-0000ED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54" name="Text Box 3">
          <a:extLst>
            <a:ext uri="{FF2B5EF4-FFF2-40B4-BE49-F238E27FC236}">
              <a16:creationId xmlns:a16="http://schemas.microsoft.com/office/drawing/2014/main" id="{00000000-0008-0000-0100-0000EE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55" name="Text Box 63">
          <a:extLst>
            <a:ext uri="{FF2B5EF4-FFF2-40B4-BE49-F238E27FC236}">
              <a16:creationId xmlns:a16="http://schemas.microsoft.com/office/drawing/2014/main" id="{00000000-0008-0000-0100-0000EF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56" name="Text Box 3">
          <a:extLst>
            <a:ext uri="{FF2B5EF4-FFF2-40B4-BE49-F238E27FC236}">
              <a16:creationId xmlns:a16="http://schemas.microsoft.com/office/drawing/2014/main" id="{00000000-0008-0000-0100-0000F0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57" name="Text Box 32">
          <a:extLst>
            <a:ext uri="{FF2B5EF4-FFF2-40B4-BE49-F238E27FC236}">
              <a16:creationId xmlns:a16="http://schemas.microsoft.com/office/drawing/2014/main" id="{00000000-0008-0000-0100-0000F1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58" name="Text Box 3">
          <a:extLst>
            <a:ext uri="{FF2B5EF4-FFF2-40B4-BE49-F238E27FC236}">
              <a16:creationId xmlns:a16="http://schemas.microsoft.com/office/drawing/2014/main" id="{00000000-0008-0000-0100-0000F2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59" name="Text Box 63">
          <a:extLst>
            <a:ext uri="{FF2B5EF4-FFF2-40B4-BE49-F238E27FC236}">
              <a16:creationId xmlns:a16="http://schemas.microsoft.com/office/drawing/2014/main" id="{00000000-0008-0000-0100-0000F3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60" name="Text Box 3">
          <a:extLst>
            <a:ext uri="{FF2B5EF4-FFF2-40B4-BE49-F238E27FC236}">
              <a16:creationId xmlns:a16="http://schemas.microsoft.com/office/drawing/2014/main" id="{00000000-0008-0000-0100-0000F4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61" name="Text Box 32">
          <a:extLst>
            <a:ext uri="{FF2B5EF4-FFF2-40B4-BE49-F238E27FC236}">
              <a16:creationId xmlns:a16="http://schemas.microsoft.com/office/drawing/2014/main" id="{00000000-0008-0000-0100-0000F5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62" name="Text Box 3">
          <a:extLst>
            <a:ext uri="{FF2B5EF4-FFF2-40B4-BE49-F238E27FC236}">
              <a16:creationId xmlns:a16="http://schemas.microsoft.com/office/drawing/2014/main" id="{00000000-0008-0000-0100-0000F6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63" name="Text Box 63">
          <a:extLst>
            <a:ext uri="{FF2B5EF4-FFF2-40B4-BE49-F238E27FC236}">
              <a16:creationId xmlns:a16="http://schemas.microsoft.com/office/drawing/2014/main" id="{00000000-0008-0000-0100-0000F7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64" name="Text Box 3">
          <a:extLst>
            <a:ext uri="{FF2B5EF4-FFF2-40B4-BE49-F238E27FC236}">
              <a16:creationId xmlns:a16="http://schemas.microsoft.com/office/drawing/2014/main" id="{00000000-0008-0000-0100-0000F8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65" name="Text Box 32">
          <a:extLst>
            <a:ext uri="{FF2B5EF4-FFF2-40B4-BE49-F238E27FC236}">
              <a16:creationId xmlns:a16="http://schemas.microsoft.com/office/drawing/2014/main" id="{00000000-0008-0000-0100-0000F9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66" name="Text Box 3">
          <a:extLst>
            <a:ext uri="{FF2B5EF4-FFF2-40B4-BE49-F238E27FC236}">
              <a16:creationId xmlns:a16="http://schemas.microsoft.com/office/drawing/2014/main" id="{00000000-0008-0000-0100-0000FA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67" name="Text Box 63">
          <a:extLst>
            <a:ext uri="{FF2B5EF4-FFF2-40B4-BE49-F238E27FC236}">
              <a16:creationId xmlns:a16="http://schemas.microsoft.com/office/drawing/2014/main" id="{00000000-0008-0000-0100-0000FB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68" name="Text Box 3">
          <a:extLst>
            <a:ext uri="{FF2B5EF4-FFF2-40B4-BE49-F238E27FC236}">
              <a16:creationId xmlns:a16="http://schemas.microsoft.com/office/drawing/2014/main" id="{00000000-0008-0000-0100-0000FC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69" name="Text Box 32">
          <a:extLst>
            <a:ext uri="{FF2B5EF4-FFF2-40B4-BE49-F238E27FC236}">
              <a16:creationId xmlns:a16="http://schemas.microsoft.com/office/drawing/2014/main" id="{00000000-0008-0000-0100-0000FD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70" name="Text Box 3">
          <a:extLst>
            <a:ext uri="{FF2B5EF4-FFF2-40B4-BE49-F238E27FC236}">
              <a16:creationId xmlns:a16="http://schemas.microsoft.com/office/drawing/2014/main" id="{00000000-0008-0000-0100-0000FE0B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71" name="Text Box 63">
          <a:extLst>
            <a:ext uri="{FF2B5EF4-FFF2-40B4-BE49-F238E27FC236}">
              <a16:creationId xmlns:a16="http://schemas.microsoft.com/office/drawing/2014/main" id="{00000000-0008-0000-0100-0000FF0B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72" name="Text Box 3">
          <a:extLst>
            <a:ext uri="{FF2B5EF4-FFF2-40B4-BE49-F238E27FC236}">
              <a16:creationId xmlns:a16="http://schemas.microsoft.com/office/drawing/2014/main" id="{00000000-0008-0000-0100-0000000C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73" name="Text Box 32">
          <a:extLst>
            <a:ext uri="{FF2B5EF4-FFF2-40B4-BE49-F238E27FC236}">
              <a16:creationId xmlns:a16="http://schemas.microsoft.com/office/drawing/2014/main" id="{00000000-0008-0000-0100-0000010C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74" name="Text Box 3">
          <a:extLst>
            <a:ext uri="{FF2B5EF4-FFF2-40B4-BE49-F238E27FC236}">
              <a16:creationId xmlns:a16="http://schemas.microsoft.com/office/drawing/2014/main" id="{00000000-0008-0000-0100-0000020C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75" name="Text Box 63">
          <a:extLst>
            <a:ext uri="{FF2B5EF4-FFF2-40B4-BE49-F238E27FC236}">
              <a16:creationId xmlns:a16="http://schemas.microsoft.com/office/drawing/2014/main" id="{00000000-0008-0000-0100-0000030C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76" name="Text Box 3">
          <a:extLst>
            <a:ext uri="{FF2B5EF4-FFF2-40B4-BE49-F238E27FC236}">
              <a16:creationId xmlns:a16="http://schemas.microsoft.com/office/drawing/2014/main" id="{00000000-0008-0000-0100-0000040C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77" name="Text Box 32">
          <a:extLst>
            <a:ext uri="{FF2B5EF4-FFF2-40B4-BE49-F238E27FC236}">
              <a16:creationId xmlns:a16="http://schemas.microsoft.com/office/drawing/2014/main" id="{00000000-0008-0000-0100-0000050C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52400"/>
    <xdr:sp macro="" textlink="">
      <xdr:nvSpPr>
        <xdr:cNvPr id="3078" name="Text Box 3">
          <a:extLst>
            <a:ext uri="{FF2B5EF4-FFF2-40B4-BE49-F238E27FC236}">
              <a16:creationId xmlns:a16="http://schemas.microsoft.com/office/drawing/2014/main" id="{00000000-0008-0000-0100-0000060C0000}"/>
            </a:ext>
          </a:extLst>
        </xdr:cNvPr>
        <xdr:cNvSpPr txBox="1">
          <a:spLocks noChangeArrowheads="1"/>
        </xdr:cNvSpPr>
      </xdr:nvSpPr>
      <xdr:spPr bwMode="auto">
        <a:xfrm>
          <a:off x="3048000" y="14668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11</xdr:row>
      <xdr:rowOff>0</xdr:rowOff>
    </xdr:from>
    <xdr:ext cx="0" cy="114300"/>
    <xdr:sp macro="" textlink="">
      <xdr:nvSpPr>
        <xdr:cNvPr id="3079" name="Text Box 63">
          <a:extLst>
            <a:ext uri="{FF2B5EF4-FFF2-40B4-BE49-F238E27FC236}">
              <a16:creationId xmlns:a16="http://schemas.microsoft.com/office/drawing/2014/main" id="{00000000-0008-0000-0100-0000070C0000}"/>
            </a:ext>
          </a:extLst>
        </xdr:cNvPr>
        <xdr:cNvSpPr txBox="1">
          <a:spLocks noChangeArrowheads="1"/>
        </xdr:cNvSpPr>
      </xdr:nvSpPr>
      <xdr:spPr bwMode="auto">
        <a:xfrm>
          <a:off x="3048000" y="1466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170</xdr:row>
      <xdr:rowOff>0</xdr:rowOff>
    </xdr:from>
    <xdr:ext cx="6687" cy="344556"/>
    <xdr:sp macro="" textlink="">
      <xdr:nvSpPr>
        <xdr:cNvPr id="3080" name="Text Box 9">
          <a:extLst>
            <a:ext uri="{FF2B5EF4-FFF2-40B4-BE49-F238E27FC236}">
              <a16:creationId xmlns:a16="http://schemas.microsoft.com/office/drawing/2014/main" id="{00000000-0008-0000-0100-0000080C0000}"/>
            </a:ext>
          </a:extLst>
        </xdr:cNvPr>
        <xdr:cNvSpPr txBox="1">
          <a:spLocks noChangeArrowheads="1"/>
        </xdr:cNvSpPr>
      </xdr:nvSpPr>
      <xdr:spPr bwMode="auto">
        <a:xfrm>
          <a:off x="1914525" y="35956875"/>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170</xdr:row>
      <xdr:rowOff>0</xdr:rowOff>
    </xdr:from>
    <xdr:ext cx="6687" cy="327411"/>
    <xdr:sp macro="" textlink="">
      <xdr:nvSpPr>
        <xdr:cNvPr id="3081" name="Text Box 8">
          <a:extLst>
            <a:ext uri="{FF2B5EF4-FFF2-40B4-BE49-F238E27FC236}">
              <a16:creationId xmlns:a16="http://schemas.microsoft.com/office/drawing/2014/main" id="{00000000-0008-0000-0100-0000090C0000}"/>
            </a:ext>
          </a:extLst>
        </xdr:cNvPr>
        <xdr:cNvSpPr txBox="1">
          <a:spLocks noChangeArrowheads="1"/>
        </xdr:cNvSpPr>
      </xdr:nvSpPr>
      <xdr:spPr bwMode="auto">
        <a:xfrm>
          <a:off x="1914525" y="359568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170</xdr:row>
      <xdr:rowOff>0</xdr:rowOff>
    </xdr:from>
    <xdr:ext cx="6687" cy="327411"/>
    <xdr:sp macro="" textlink="">
      <xdr:nvSpPr>
        <xdr:cNvPr id="3082" name="Text Box 9">
          <a:extLst>
            <a:ext uri="{FF2B5EF4-FFF2-40B4-BE49-F238E27FC236}">
              <a16:creationId xmlns:a16="http://schemas.microsoft.com/office/drawing/2014/main" id="{00000000-0008-0000-0100-00000A0C0000}"/>
            </a:ext>
          </a:extLst>
        </xdr:cNvPr>
        <xdr:cNvSpPr txBox="1">
          <a:spLocks noChangeArrowheads="1"/>
        </xdr:cNvSpPr>
      </xdr:nvSpPr>
      <xdr:spPr bwMode="auto">
        <a:xfrm>
          <a:off x="1914525" y="359568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170</xdr:row>
      <xdr:rowOff>0</xdr:rowOff>
    </xdr:from>
    <xdr:ext cx="6687" cy="344556"/>
    <xdr:sp macro="" textlink="">
      <xdr:nvSpPr>
        <xdr:cNvPr id="3083" name="Text Box 8">
          <a:extLst>
            <a:ext uri="{FF2B5EF4-FFF2-40B4-BE49-F238E27FC236}">
              <a16:creationId xmlns:a16="http://schemas.microsoft.com/office/drawing/2014/main" id="{00000000-0008-0000-0100-00000B0C0000}"/>
            </a:ext>
          </a:extLst>
        </xdr:cNvPr>
        <xdr:cNvSpPr txBox="1">
          <a:spLocks noChangeArrowheads="1"/>
        </xdr:cNvSpPr>
      </xdr:nvSpPr>
      <xdr:spPr bwMode="auto">
        <a:xfrm>
          <a:off x="1914525" y="35956875"/>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170</xdr:row>
      <xdr:rowOff>0</xdr:rowOff>
    </xdr:from>
    <xdr:ext cx="6687" cy="344556"/>
    <xdr:sp macro="" textlink="">
      <xdr:nvSpPr>
        <xdr:cNvPr id="3084" name="Text Box 9">
          <a:extLst>
            <a:ext uri="{FF2B5EF4-FFF2-40B4-BE49-F238E27FC236}">
              <a16:creationId xmlns:a16="http://schemas.microsoft.com/office/drawing/2014/main" id="{00000000-0008-0000-0100-00000C0C0000}"/>
            </a:ext>
          </a:extLst>
        </xdr:cNvPr>
        <xdr:cNvSpPr txBox="1">
          <a:spLocks noChangeArrowheads="1"/>
        </xdr:cNvSpPr>
      </xdr:nvSpPr>
      <xdr:spPr bwMode="auto">
        <a:xfrm>
          <a:off x="1914525" y="35956875"/>
          <a:ext cx="6687" cy="344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170</xdr:row>
      <xdr:rowOff>0</xdr:rowOff>
    </xdr:from>
    <xdr:ext cx="6687" cy="327411"/>
    <xdr:sp macro="" textlink="">
      <xdr:nvSpPr>
        <xdr:cNvPr id="3085" name="Text Box 8">
          <a:extLst>
            <a:ext uri="{FF2B5EF4-FFF2-40B4-BE49-F238E27FC236}">
              <a16:creationId xmlns:a16="http://schemas.microsoft.com/office/drawing/2014/main" id="{00000000-0008-0000-0100-00000D0C0000}"/>
            </a:ext>
          </a:extLst>
        </xdr:cNvPr>
        <xdr:cNvSpPr txBox="1">
          <a:spLocks noChangeArrowheads="1"/>
        </xdr:cNvSpPr>
      </xdr:nvSpPr>
      <xdr:spPr bwMode="auto">
        <a:xfrm>
          <a:off x="1914525" y="359568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170</xdr:row>
      <xdr:rowOff>0</xdr:rowOff>
    </xdr:from>
    <xdr:ext cx="6687" cy="327411"/>
    <xdr:sp macro="" textlink="">
      <xdr:nvSpPr>
        <xdr:cNvPr id="3086" name="Text Box 9">
          <a:extLst>
            <a:ext uri="{FF2B5EF4-FFF2-40B4-BE49-F238E27FC236}">
              <a16:creationId xmlns:a16="http://schemas.microsoft.com/office/drawing/2014/main" id="{00000000-0008-0000-0100-00000E0C0000}"/>
            </a:ext>
          </a:extLst>
        </xdr:cNvPr>
        <xdr:cNvSpPr txBox="1">
          <a:spLocks noChangeArrowheads="1"/>
        </xdr:cNvSpPr>
      </xdr:nvSpPr>
      <xdr:spPr bwMode="auto">
        <a:xfrm>
          <a:off x="1914525" y="35956875"/>
          <a:ext cx="6687" cy="327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is.heredia\Desktop\Mis%20documentos%20Francis%20Heredia\CUB04%20F.N.%20AC.VILLA%20BA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apa-fs02\HANGAR%20AILI\Hangares%20AILI%2002-09-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lvita\c\backup%20costos%2003\RECLAMACIONES%202006\ZONA%20III\rec%202%20al%2098-05%20terminacion%20ac.%20la%20cueva%20de%20cevicos%202da.%20etapa%20ac.%20mult.%20guanabano-%20cruce%20de%20maguaca%20parte%20b%20y%20guanabano%20como%20ext.%20al%20ac.%20la%20cueva%20de%20cevico%201.xls"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file:///\\Elvita\c\Documents%20and%20Settings\JOEL\Mis%20documentos\Documents%20and%20Settings\Joel%20Francisco\Mis%20documentos\Documents%20and%20Settings\CLAUDIA\Mis%20documentos\TRABAJO%20CLAUDIA\Garibaldy%20Bautista%20(actualizaciones)\analisis%20el%20pino%20junumuc&#250;.xls?1E846D7E" TargetMode="External"/><Relationship Id="rId1" Type="http://schemas.openxmlformats.org/officeDocument/2006/relationships/externalLinkPath" Target="file:///\\1E846D7E\analisis%20el%20pino%20junumuc&#25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stos01\Mis%20Documentos%20(Costos)\ADDENDAS%20ABRIL%202004\143-04%20%20ADDENDA%20NO.%201%20AC.%20%20EL%20LIM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CUBICACION-NUEVA-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lvita\c\backup%20costos%2003\RECLAMACIONES%202005\ZONA%20II\Documents%20and%20Settings\CLAUDIA\Mis%20documentos\TRABAJO%20CLAUDIA\Garibaldy%20Bautista%20(actualizaciones)\analisis%20el%20pino%20junumuc&#25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CBRIAN\D\My%20Documents\Documentos%20En%20Uso\Resort%20Bahia%20Estela%20Caribe\My%20Documents\Brian's%20Documents\RESIDENCIAL%20APARTAMENTOS\ROMANA%20DEL%20OESTE\Plaza%20Columbus\WINPROJ\Cespedes\Fiesta\Fiesta%20Area%20de%20Espectaculos.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Startup" Target="PROYECTO%20PUCMM/BASE%20DATOS%20PARA%20ANALISIS/BASE%20DATOS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ob-02\D\Documents%20and%20Settings\FRED\Mis%20documentos\ARCHIVOS%20PERSONALES\FRED\FRANCISCO\PRESUPUESTO%20MELLIZAS_2_NIVELES_2.xls" TargetMode="External"/></Relationships>
</file>

<file path=xl/externalLinks/_rels/externalLink19.xml.rels><?xml version="1.0" encoding="UTF-8" standalone="yes"?>
<Relationships xmlns="http://schemas.openxmlformats.org/package/2006/relationships"><Relationship Id="rId2" Type="http://schemas.microsoft.com/office/2019/04/relationships/externalLinkLongPath" Target="file:///\\Elvita\c\Documents%20and%20Settings\JOEL\Mis%20documentos\Documents%20and%20Settings\Joel%20Francisco\Mis%20documentos\Documents%20and%20Settings\CLAUDIA\Mis%20documentos\TRABAJO%20CLAUDIA\analisis%20seopc\Copia%20de%20Analisis%20PARA%20PRESUPUESTO%20OBRAS%20PUBLICA%20df%20enero%202004.xls?22A946DD" TargetMode="External"/><Relationship Id="rId1" Type="http://schemas.openxmlformats.org/officeDocument/2006/relationships/externalLinkPath" Target="file:///\\22A946DD\Copia%20de%20Analisis%20PARA%20PRESUPUESTO%20OBRAS%20PUBLICA%20df%20enero%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ntrolproyecto\FORTUNA%20(E)\backup\DATOS\Zona4-B\Monte%20Plata\Ac.%20Las%20Guazumas%20Parte%20A-ING.%20INOCENCIO%20GUZMAN%20PEREZ\CUB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ec-costos-14\PC%20Elvita\Documents%20and%20Settings\GERMAN%20NOVA\My%20Documents\Intec\MAESTRIA\Costos\Proyecto%20Final%20(SC)\Documents%20and%20Settings\Lurdes\Desktop\Samuel\Propuesta-Auditoria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rian\c\Mis%20Documentos\Mis%20archivos%20recibidos\VillaVinicioCastillo(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CBRIAN\D\My%20Documents\Documentos%20En%20Uso\Escuelas%20Publicas\Escuelas%20Armenteros%20Tony%20Hernandez\LOLIN%20NAVE%20PTA%20CAN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lvita\c\backup%20costos%2003\RECLAMACIONES%202006\ZONA%20III\rec%201%20al%2098-05%20terminacion%20ac.%20la%20cueva%20de%20cevicos%202da.%20etapa%20ac.%20mult.%20guanabano-%20cruce%20de%20maguaca%20parte%20b%20y%20guanabano%20como%20ext.%20al%20ac.%20la%20cueva%20de%20cevico%2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TRABAJOS\Transfer\Costos\Proyectos\Galerias\presu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stos3\C\Documents%20and%20Settings\CLAUDIA\Mis%20documentos\TRABAJO%20CLAUDIA\analisis%20seopc\Copia%20de%20Analisis%20PARA%20PRESUPUESTO%20OBRAS%20PUBLICA%20df%20enero%20200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ec-costos-05\servidor%20de%20red%20de%20costos%20(ervita)\MIS%20DOCUMENTOS\PROYECTO%20TERMINACION%20SOFTBALL%20COJPD\PRESUPUESTO%20MODIFICADO\PRESUPUESTO_FEDOSA_14NOV200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IS%20DOCUMENTOS\PROYECTO%20TERMINACION%20SOFTBALL%20COJPD\PRESUPUESTO%20MODIFICADO\PRESUPUESTO_FEDOSA_14NOV200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napa-fs02\Users\Maria%20Isabel%20Morales\Desktop\doc.%20memoria%20feb%2011\higuero%20nuevo\HANGAR%20AILI\pres.%20ampliacion%20y%20construc.%20plataforma%20tanqu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francis.heredia\Desktop\Mis%20documentos%20Francis%20Heredia\Analisis%20General%20V1912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LAS%20GUARANAS%20FINAL2\Documents%20and%20Settings\dell2\Escritorio\Mis%20documentos\presupuestos%202006\85-06%20Reh.%20y%20Ampl.%20Ac.%20Imbert%20(2da.%20alternativ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os%20Compartidos%20Evaluacion%20y%20Costo/FRANCIS%20HEREDIA/2020/PEDERNALES/DEP.%20REG%20H.A.%20%202,000%20.%20PEDERNALES/Pres.%20%20DEPOSITO%20REGULADOR%20H.A.%20SUPERFICIAL%202,000M3%20,%20AC.%20PEDERNA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stos3\C\Documents%20and%20Settings\costos\Mis%20documentos\claudia\Garibaldy%20Bautista%20(Costos)\analisis%20el%20pino%20junumuc&#250;%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RIAN\C\BASE%20DATOS%20PARA%20ANALISIS\BASE%20DATOS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c-costos-14\pc%20elvita\Backup%20Temporal%20PC%20Elvita\Carpeta%20de%20trabajo%20Francis\2010\MARIA%20TRINIDAD%20SANCHEZ\PROYECTO\IMBERT_PEAD_21abr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analisis%20seopc\Copia%20de%20Analisis%20PARA%20PRESUPUESTO%20OBRAS%20PUBLICA%20df%20enero%2020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2.158\pc%20elvita\Documents%20and%20Settings\Costos_01\Desktop\LOMA%20CABRRERA\MOD.%20223-09%20TRABAJOS%20faltantes%20AC.%20LOMA%20DE%20CABRER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Garibaldy%20Bautista%20(actualizaciones)\analisis%20el%20pino%20junumuc&#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10181-3(Rescision)"/>
      <sheetName val="PRESUPUESTO"/>
      <sheetName val="ANALISIS"/>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alisis"/>
      <sheetName val="Sheet3"/>
      <sheetName val="CUBICACION"/>
      <sheetName val="CUB. FORMATO AERODOM"/>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 1"/>
      <sheetName val="Analisis REC 1"/>
      <sheetName val="EXC. A MANO"/>
      <sheetName val="REC. 2"/>
      <sheetName val="analisis rec.2"/>
      <sheetName val="MEMO (2)"/>
      <sheetName val="Módulo1"/>
    </sheetNames>
    <sheetDataSet>
      <sheetData sheetId="0"/>
      <sheetData sheetId="1">
        <row r="1710">
          <cell r="F1710">
            <v>41829857.560000002</v>
          </cell>
        </row>
      </sheetData>
      <sheetData sheetId="2"/>
      <sheetData sheetId="3"/>
      <sheetData sheetId="4">
        <row r="1757">
          <cell r="F1757">
            <v>44557056.409999996</v>
          </cell>
        </row>
      </sheetData>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s>
    <sheetDataSet>
      <sheetData sheetId="0">
        <row r="10">
          <cell r="C10">
            <v>578</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ENDA"/>
      <sheetName val="CADRO EXPLICATIVO"/>
      <sheetName val="Módulo1"/>
      <sheetName val="INS"/>
    </sheetNames>
    <sheetDataSet>
      <sheetData sheetId="0"/>
      <sheetData sheetId="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ISIS"/>
      <sheetName val="ADM"/>
      <sheetName val="PLAY1"/>
      <sheetName val="PLAY2"/>
      <sheetName val="NUEVAS PARTIDAS"/>
      <sheetName val="AUMENTO_VOL"/>
      <sheetName val="AUMENTO_PRECIOS"/>
      <sheetName val="RESUMEN"/>
      <sheetName val="ADDENDA"/>
      <sheetName val="Ana. blocks y termin."/>
      <sheetName val="Costos Mano de Obra"/>
      <sheetName val="Insumos materiales"/>
      <sheetName val="Ana. Horm mexc mort"/>
      <sheetName val="Ins"/>
      <sheetName val="Insumos"/>
      <sheetName val="Análisis"/>
      <sheetName val="Cabañas simple Tipo 2"/>
      <sheetName val="Cabañas simple Tipo 3"/>
      <sheetName val="Cabañas Vice Presidenciales"/>
      <sheetName val="Sheet1"/>
    </sheetNames>
    <sheetDataSet>
      <sheetData sheetId="0" refreshError="1">
        <row r="13">
          <cell r="B13">
            <v>115</v>
          </cell>
        </row>
        <row r="41">
          <cell r="B41">
            <v>9800</v>
          </cell>
        </row>
        <row r="42">
          <cell r="B42">
            <v>1410</v>
          </cell>
        </row>
        <row r="90">
          <cell r="B90">
            <v>165</v>
          </cell>
        </row>
        <row r="91">
          <cell r="B91">
            <v>2000</v>
          </cell>
        </row>
        <row r="103">
          <cell r="B103">
            <v>34.426229508196727</v>
          </cell>
        </row>
        <row r="104">
          <cell r="B104">
            <v>7</v>
          </cell>
        </row>
      </sheetData>
      <sheetData sheetId="1" refreshError="1">
        <row r="11">
          <cell r="B11">
            <v>1140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s>
    <sheetDataSet>
      <sheetData sheetId="0">
        <row r="9">
          <cell r="C9">
            <v>1525</v>
          </cell>
        </row>
      </sheetData>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EJERCICIO"/>
      <sheetName val="MACHOTE"/>
      <sheetName val="Mov. tierra"/>
      <sheetName val="H.A."/>
      <sheetName val="Cuantia de Acero"/>
      <sheetName val="Muros y Term"/>
      <sheetName val="Ventanas"/>
      <sheetName val="techos"/>
      <sheetName val="p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
      <sheetName val="SALARIOS"/>
      <sheetName val="M.O."/>
      <sheetName val="HORM. Y MORTEROS."/>
      <sheetName val="ANALISIS FRED"/>
      <sheetName val="ANALISIS"/>
      <sheetName val="Ana.MELLIZAS"/>
      <sheetName val="PRES_BNP"/>
      <sheetName val="PRES_1erNivel"/>
      <sheetName val="PRES_2doNivel"/>
      <sheetName val="Pres_InstSanit."/>
      <sheetName val="Pres_InstElect."/>
      <sheetName val="RESUMEN"/>
      <sheetName val="LISTADO INSUMOS DEL 2000"/>
      <sheetName val="COSTO INDIRECTO"/>
      <sheetName val="OPERADORES EQUIPOS"/>
      <sheetName val="Listado Equipos a utilizar"/>
      <sheetName val="Insumos"/>
    </sheetNames>
    <sheetDataSet>
      <sheetData sheetId="0" refreshError="1">
        <row r="767">
          <cell r="D767">
            <v>20</v>
          </cell>
        </row>
        <row r="770">
          <cell r="D770">
            <v>45.14</v>
          </cell>
        </row>
      </sheetData>
      <sheetData sheetId="1" refreshError="1">
        <row r="10">
          <cell r="C10">
            <v>350</v>
          </cell>
        </row>
      </sheetData>
      <sheetData sheetId="2" refreshError="1"/>
      <sheetData sheetId="3" refreshError="1">
        <row r="212">
          <cell r="H212">
            <v>2563.4295469815961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CUB02"/>
      <sheetName val="Módulo1"/>
    </sheetNames>
    <sheetDataSet>
      <sheetData sheetId="0"/>
      <sheetData sheetId="1">
        <row r="1">
          <cell r="U1" t="str">
            <v>/OFHYQQ~</v>
          </cell>
          <cell r="W1" t="str">
            <v>/OFHYQQ~</v>
          </cell>
        </row>
        <row r="2">
          <cell r="U2" t="str">
            <v>/PBA15..N96~</v>
          </cell>
          <cell r="W2" t="str">
            <v>/PBA15..N96~</v>
          </cell>
        </row>
        <row r="3">
          <cell r="U3" t="str">
            <v>HTA1..N14~</v>
          </cell>
          <cell r="W3" t="str">
            <v>HTA1..N14~</v>
          </cell>
        </row>
        <row r="4">
          <cell r="U4" t="str">
            <v>LH{ESC}FECHA DE IMP.@|PAG. -#-~Q</v>
          </cell>
          <cell r="W4" t="str">
            <v>LH{ESC}FECHA DE IMP.@|PAG. -#-~Q</v>
          </cell>
        </row>
        <row r="5">
          <cell r="U5" t="str">
            <v>AA</v>
          </cell>
          <cell r="W5" t="str">
            <v>AA</v>
          </cell>
        </row>
        <row r="6">
          <cell r="S6" t="str">
            <v>{goto}G15~</v>
          </cell>
          <cell r="U6" t="str">
            <v>C2~</v>
          </cell>
          <cell r="W6" t="str">
            <v>C1~</v>
          </cell>
        </row>
        <row r="7">
          <cell r="U7" t="str">
            <v>S</v>
          </cell>
          <cell r="W7" t="str">
            <v>S</v>
          </cell>
        </row>
        <row r="8">
          <cell r="U8" t="str">
            <v>Q</v>
          </cell>
          <cell r="W8" t="str">
            <v>Q</v>
          </cell>
        </row>
        <row r="11">
          <cell r="U11" t="str">
            <v>/PBA98..N132~</v>
          </cell>
          <cell r="W11" t="str">
            <v>/PBA98..N132~</v>
          </cell>
        </row>
        <row r="12">
          <cell r="U12" t="str">
            <v>HTA1..M11~</v>
          </cell>
          <cell r="W12" t="str">
            <v>HTA1..M11~</v>
          </cell>
        </row>
        <row r="13">
          <cell r="U13" t="str">
            <v>LH{ESC}FECHA DE IMP.@|PAG. -5-~Q</v>
          </cell>
          <cell r="W13" t="str">
            <v>LH{ESC}FECHA DE IMP.@|PAG. -5-~Q</v>
          </cell>
        </row>
        <row r="14">
          <cell r="U14" t="str">
            <v>AA</v>
          </cell>
          <cell r="W14" t="str">
            <v>AF</v>
          </cell>
        </row>
        <row r="15">
          <cell r="U15" t="str">
            <v>C2~</v>
          </cell>
          <cell r="W15" t="str">
            <v>AA</v>
          </cell>
        </row>
        <row r="16">
          <cell r="U16" t="str">
            <v>S</v>
          </cell>
          <cell r="W16" t="str">
            <v>C1~</v>
          </cell>
        </row>
        <row r="17">
          <cell r="U17" t="str">
            <v>Q</v>
          </cell>
          <cell r="W17" t="str">
            <v>S</v>
          </cell>
        </row>
        <row r="18">
          <cell r="W18" t="str">
            <v>AF</v>
          </cell>
        </row>
        <row r="244">
          <cell r="W244" t="str">
            <v>Q</v>
          </cell>
        </row>
        <row r="378">
          <cell r="S378" t="str">
            <v>ING. LEANDRO JIMENEZ</v>
          </cell>
          <cell r="U378" t="str">
            <v>ARQ. ESTHER REYES</v>
          </cell>
        </row>
        <row r="379">
          <cell r="S379" t="str">
            <v>ING. MANUEL FELIZ</v>
          </cell>
          <cell r="U379" t="str">
            <v>ING. JOSELINE ACOSTA</v>
          </cell>
        </row>
        <row r="380">
          <cell r="S380" t="str">
            <v>ING. PEDRO MENDOZA REGALADO</v>
          </cell>
          <cell r="U380" t="str">
            <v>ING. EMILIANO MARTINEZ</v>
          </cell>
        </row>
        <row r="381">
          <cell r="S381" t="str">
            <v>ING. IGNACIO SORIANO III-B</v>
          </cell>
          <cell r="U381" t="str">
            <v>AUX. ING. YDELKY AMARANTE</v>
          </cell>
        </row>
        <row r="382">
          <cell r="S382" t="str">
            <v>ING. JUAN RAMON CRUZ</v>
          </cell>
          <cell r="U382" t="str">
            <v>ING. AMELIA SILVERIO</v>
          </cell>
        </row>
        <row r="383">
          <cell r="S383" t="str">
            <v>ING. JESUS DANIEL</v>
          </cell>
          <cell r="U383" t="str">
            <v>ING. MINERVA CABRERA</v>
          </cell>
        </row>
        <row r="384">
          <cell r="S384" t="str">
            <v>ING. LUIS RAMIREZ</v>
          </cell>
          <cell r="U384" t="str">
            <v>ARQ. IRIS CUETO</v>
          </cell>
        </row>
        <row r="385">
          <cell r="S385" t="str">
            <v>ING. GUILLERMO JIMENEZ</v>
          </cell>
          <cell r="U385" t="str">
            <v>ING. ZAIDA MAURICIO</v>
          </cell>
        </row>
        <row r="386">
          <cell r="S386" t="str">
            <v>ING. RAMON CRUZ</v>
          </cell>
          <cell r="U386" t="str">
            <v>ING. FELIX PEREZ</v>
          </cell>
        </row>
        <row r="387">
          <cell r="S387" t="str">
            <v>ING. PEDRO  MARTE</v>
          </cell>
          <cell r="U387" t="str">
            <v>ING. MARCOS PANIAGUA</v>
          </cell>
        </row>
        <row r="388">
          <cell r="S388" t="str">
            <v>ING. ROMAN RAMIREZ</v>
          </cell>
          <cell r="U388" t="str">
            <v>ING. DARWIN MEDOS</v>
          </cell>
        </row>
        <row r="389">
          <cell r="S389" t="str">
            <v>ING. VIRGILIO SANTANA</v>
          </cell>
          <cell r="U389" t="str">
            <v>ING. VILMA ALVAREZ</v>
          </cell>
        </row>
        <row r="390">
          <cell r="S390" t="str">
            <v>ING.  FEDERICO TERRERO</v>
          </cell>
          <cell r="U390" t="str">
            <v>ING. WENDYS NOVAS</v>
          </cell>
        </row>
        <row r="391">
          <cell r="S391" t="str">
            <v>ING. CIRIACO LOPEZ</v>
          </cell>
          <cell r="U391" t="str">
            <v>ING. KATHERYS CRUZ</v>
          </cell>
        </row>
      </sheetData>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Salarios"/>
      <sheetName val="Directos"/>
      <sheetName val="Viaticos"/>
    </sheetNames>
    <sheetDataSet>
      <sheetData sheetId="0" refreshError="1"/>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Villa"/>
      <sheetName val="Terraza"/>
      <sheetName val="Marquesina"/>
      <sheetName val="Gazebo"/>
      <sheetName val="Piscina &amp; Jacuzzi"/>
      <sheetName val="Insumos"/>
      <sheetName val="Cotizaciones"/>
      <sheetName val="M.O."/>
      <sheetName val="ATC"/>
      <sheetName val="Mediciones 1er Nivel"/>
      <sheetName val="Mediciones 2do Nivel"/>
      <sheetName val="Mediciones Terraza"/>
      <sheetName val="Mediciones Marquesinas"/>
      <sheetName val="Mediciones Gazebo"/>
      <sheetName val="Mediciones Piscina"/>
      <sheetName val="Albañilería"/>
      <sheetName val="Bloques"/>
      <sheetName val="Columnas"/>
      <sheetName val="Losas"/>
      <sheetName val="Materiales &amp; Tranporte"/>
      <sheetName val="Muros"/>
      <sheetName val="Otros"/>
      <sheetName val="Pisos &amp; Revestimientos"/>
      <sheetName val="Vigas"/>
      <sheetName val="Zapatas"/>
      <sheetName val="Cuantía Acero"/>
      <sheetName val="Cotización Acero"/>
      <sheetName val="IS Villa"/>
      <sheetName val="IS Gazebo"/>
      <sheetName val="I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LUZINC"/>
      <sheetName val="ANALISIS ACERO"/>
      <sheetName val="propuesta"/>
      <sheetName val="peso"/>
      <sheetName val="Insumos"/>
    </sheetNames>
    <sheetDataSet>
      <sheetData sheetId="0" refreshError="1"/>
      <sheetData sheetId="1" refreshError="1"/>
      <sheetData sheetId="2" refreshError="1"/>
      <sheetData sheetId="3"/>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 1"/>
      <sheetName val="Analisis REC 1"/>
      <sheetName val="EXC. A MANO"/>
      <sheetName val="Módulo1"/>
      <sheetName val="Insumos"/>
    </sheetNames>
    <sheetDataSet>
      <sheetData sheetId="0" refreshError="1">
        <row r="9">
          <cell r="O9" t="str">
            <v>HTA1..M11~</v>
          </cell>
        </row>
      </sheetData>
      <sheetData sheetId="1"/>
      <sheetData sheetId="2"/>
      <sheetData sheetId="3"/>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Blanco"/>
      <sheetName val="Sheet2"/>
      <sheetName val="POriginal"/>
      <sheetName val="PActualizado"/>
      <sheetName val="Comparación"/>
      <sheetName val="Gastos Generales"/>
      <sheetName val="Cub. 01"/>
      <sheetName val="Adicional"/>
      <sheetName val="Analisis Costo"/>
      <sheetName val="FCC-005 ANDAMIOS"/>
      <sheetName val="FCC-002 ACERO"/>
      <sheetName val="FCC-004 CALZOS"/>
      <sheetName val="Trabajos Generales"/>
      <sheetName val="ANALPRECIO"/>
      <sheetName val="Labor FD1"/>
      <sheetName val="Meses"/>
      <sheetName val="med.mov.de tierras"/>
      <sheetName val="Materiales"/>
      <sheetName val="MO"/>
      <sheetName val="Salarios"/>
      <sheetName val="Gastos_Generales"/>
      <sheetName val="Cub__01"/>
      <sheetName val="Analisis_Costo"/>
      <sheetName val="Senalizacion"/>
      <sheetName val="PRESUPUESTO"/>
      <sheetName val="peso"/>
      <sheetName val="Sheet1"/>
      <sheetName val="Sheet3"/>
    </sheetNames>
    <sheetDataSet>
      <sheetData sheetId="0" refreshError="1">
        <row r="4">
          <cell r="A4" t="str">
            <v>Id.</v>
          </cell>
          <cell r="B4" t="str">
            <v>Descripción</v>
          </cell>
          <cell r="C4" t="str">
            <v>Ud</v>
          </cell>
          <cell r="D4" t="str">
            <v>Factor</v>
          </cell>
          <cell r="E4" t="str">
            <v>Precio Base</v>
          </cell>
          <cell r="F4" t="str">
            <v>Precio</v>
          </cell>
        </row>
        <row r="5">
          <cell r="A5" t="str">
            <v>AC</v>
          </cell>
          <cell r="B5" t="str">
            <v>ACEROS Y ALAMBRE DULCE</v>
          </cell>
          <cell r="D5" t="str">
            <v/>
          </cell>
          <cell r="F5" t="str">
            <v/>
          </cell>
        </row>
        <row r="6">
          <cell r="A6" t="str">
            <v>AC01.001</v>
          </cell>
          <cell r="B6" t="str">
            <v>Acero de 1/4" grado 40</v>
          </cell>
          <cell r="C6" t="str">
            <v>qq</v>
          </cell>
          <cell r="D6">
            <v>1</v>
          </cell>
          <cell r="E6">
            <v>145</v>
          </cell>
          <cell r="F6">
            <v>145</v>
          </cell>
        </row>
        <row r="7">
          <cell r="A7" t="str">
            <v>AC01.002</v>
          </cell>
          <cell r="B7" t="str">
            <v>Acero grado 40</v>
          </cell>
          <cell r="C7" t="str">
            <v>qq</v>
          </cell>
          <cell r="D7">
            <v>1</v>
          </cell>
          <cell r="E7">
            <v>270</v>
          </cell>
          <cell r="F7">
            <v>270</v>
          </cell>
        </row>
        <row r="8">
          <cell r="A8" t="str">
            <v>AC01.003</v>
          </cell>
          <cell r="B8" t="str">
            <v>Mallas Electrosoldadas</v>
          </cell>
          <cell r="C8" t="str">
            <v>qq</v>
          </cell>
          <cell r="D8">
            <v>1</v>
          </cell>
          <cell r="E8">
            <v>428</v>
          </cell>
          <cell r="F8">
            <v>428</v>
          </cell>
        </row>
        <row r="9">
          <cell r="A9" t="str">
            <v>AC01.008</v>
          </cell>
          <cell r="B9" t="str">
            <v>Alambre dulce(precio por compra de quintales)</v>
          </cell>
          <cell r="C9" t="str">
            <v>lb</v>
          </cell>
          <cell r="D9">
            <v>1</v>
          </cell>
          <cell r="E9">
            <v>6</v>
          </cell>
          <cell r="F9">
            <v>6</v>
          </cell>
        </row>
        <row r="10">
          <cell r="A10" t="str">
            <v>AC01.009</v>
          </cell>
          <cell r="B10" t="str">
            <v>Coloc acero normal</v>
          </cell>
          <cell r="C10" t="str">
            <v>qq</v>
          </cell>
          <cell r="D10">
            <v>1</v>
          </cell>
          <cell r="E10">
            <v>45</v>
          </cell>
          <cell r="F10">
            <v>45</v>
          </cell>
        </row>
        <row r="11">
          <cell r="A11" t="str">
            <v>AC01.010</v>
          </cell>
          <cell r="B11" t="str">
            <v>Coloc acero en malla.</v>
          </cell>
          <cell r="C11" t="str">
            <v>qq</v>
          </cell>
          <cell r="D11">
            <v>1</v>
          </cell>
          <cell r="E11">
            <v>89</v>
          </cell>
          <cell r="F11">
            <v>89</v>
          </cell>
        </row>
        <row r="12">
          <cell r="A12" t="str">
            <v>AC01.011</v>
          </cell>
          <cell r="B12" t="str">
            <v>Coloc acero dinteles y vigas amarre</v>
          </cell>
          <cell r="C12" t="str">
            <v>m</v>
          </cell>
          <cell r="D12">
            <v>1</v>
          </cell>
          <cell r="E12">
            <v>24</v>
          </cell>
          <cell r="F12">
            <v>24</v>
          </cell>
        </row>
        <row r="13">
          <cell r="A13" t="str">
            <v>AC01.012</v>
          </cell>
          <cell r="B13" t="str">
            <v>Coloc acero de 1/4" en piso o losa</v>
          </cell>
          <cell r="C13" t="str">
            <v>qq</v>
          </cell>
          <cell r="D13">
            <v>1</v>
          </cell>
          <cell r="E13">
            <v>77</v>
          </cell>
          <cell r="F13">
            <v>77</v>
          </cell>
        </row>
        <row r="14">
          <cell r="A14" t="str">
            <v>AC01.013</v>
          </cell>
          <cell r="B14" t="str">
            <v>Coloc acero en rampas de escaleras</v>
          </cell>
          <cell r="C14" t="str">
            <v>u</v>
          </cell>
          <cell r="D14">
            <v>1</v>
          </cell>
          <cell r="E14">
            <v>175</v>
          </cell>
          <cell r="F14">
            <v>175</v>
          </cell>
        </row>
        <row r="15">
          <cell r="A15" t="str">
            <v>AC01.014</v>
          </cell>
          <cell r="B15" t="str">
            <v>Subir acero por planta</v>
          </cell>
          <cell r="C15" t="str">
            <v>qq</v>
          </cell>
          <cell r="D15">
            <v>1</v>
          </cell>
          <cell r="E15">
            <v>3.2</v>
          </cell>
          <cell r="F15">
            <v>3.2</v>
          </cell>
        </row>
        <row r="16">
          <cell r="A16" t="str">
            <v>AG</v>
          </cell>
          <cell r="B16" t="str">
            <v>AGREGADOS</v>
          </cell>
          <cell r="D16" t="str">
            <v/>
          </cell>
          <cell r="F16" t="str">
            <v/>
          </cell>
        </row>
        <row r="17">
          <cell r="A17" t="str">
            <v>AG01.001</v>
          </cell>
          <cell r="B17" t="str">
            <v>Arena triturada y lavada especial para hormigones</v>
          </cell>
          <cell r="C17" t="str">
            <v>m3</v>
          </cell>
          <cell r="D17">
            <v>1.08</v>
          </cell>
          <cell r="E17">
            <v>160</v>
          </cell>
          <cell r="F17">
            <v>172.8</v>
          </cell>
        </row>
        <row r="18">
          <cell r="A18" t="str">
            <v>AG01.002</v>
          </cell>
          <cell r="B18" t="str">
            <v>Arena gruesa lavada</v>
          </cell>
          <cell r="C18" t="str">
            <v>m3</v>
          </cell>
          <cell r="D18">
            <v>1.08</v>
          </cell>
          <cell r="E18">
            <v>160</v>
          </cell>
          <cell r="F18">
            <v>172.8</v>
          </cell>
        </row>
        <row r="19">
          <cell r="A19" t="str">
            <v>AG01.003</v>
          </cell>
          <cell r="B19" t="str">
            <v>Arena fina de Manoguayabo para empañetes</v>
          </cell>
          <cell r="C19" t="str">
            <v>m3</v>
          </cell>
          <cell r="D19">
            <v>1</v>
          </cell>
          <cell r="E19">
            <v>205</v>
          </cell>
          <cell r="F19">
            <v>205</v>
          </cell>
        </row>
        <row r="20">
          <cell r="A20" t="str">
            <v>AG01.004</v>
          </cell>
          <cell r="B20" t="str">
            <v>Arena itabo, de mina</v>
          </cell>
          <cell r="C20" t="str">
            <v>m3</v>
          </cell>
          <cell r="D20">
            <v>1.08</v>
          </cell>
          <cell r="E20">
            <v>115</v>
          </cell>
          <cell r="F20">
            <v>124.2</v>
          </cell>
        </row>
        <row r="21">
          <cell r="A21" t="str">
            <v>AG02.001</v>
          </cell>
          <cell r="B21" t="str">
            <v>Caliche</v>
          </cell>
          <cell r="C21" t="str">
            <v>m3</v>
          </cell>
          <cell r="D21">
            <v>1.08</v>
          </cell>
          <cell r="E21">
            <v>83.33</v>
          </cell>
          <cell r="F21">
            <v>90</v>
          </cell>
        </row>
        <row r="22">
          <cell r="A22" t="str">
            <v>AG03.001</v>
          </cell>
          <cell r="B22" t="str">
            <v>Grava 3/4" - 3/8" triturada</v>
          </cell>
          <cell r="C22" t="str">
            <v>m3</v>
          </cell>
          <cell r="D22">
            <v>1.08</v>
          </cell>
          <cell r="E22">
            <v>160</v>
          </cell>
          <cell r="F22">
            <v>172.8</v>
          </cell>
        </row>
        <row r="23">
          <cell r="A23" t="str">
            <v>AG03.002</v>
          </cell>
          <cell r="B23" t="str">
            <v>Cascajo de mina</v>
          </cell>
          <cell r="C23" t="str">
            <v>m3</v>
          </cell>
          <cell r="D23">
            <v>1</v>
          </cell>
          <cell r="E23">
            <v>108</v>
          </cell>
          <cell r="F23">
            <v>108</v>
          </cell>
        </row>
        <row r="24">
          <cell r="A24" t="str">
            <v>AG03.003</v>
          </cell>
          <cell r="B24" t="str">
            <v>Material para relleno</v>
          </cell>
          <cell r="C24" t="str">
            <v>m3E</v>
          </cell>
          <cell r="D24">
            <v>1</v>
          </cell>
          <cell r="E24">
            <v>192.94</v>
          </cell>
          <cell r="F24">
            <v>192.94</v>
          </cell>
        </row>
        <row r="25">
          <cell r="A25" t="str">
            <v>AG99.001</v>
          </cell>
          <cell r="B25" t="str">
            <v>Bote de materiales</v>
          </cell>
          <cell r="C25" t="str">
            <v>m3</v>
          </cell>
          <cell r="D25">
            <v>1</v>
          </cell>
          <cell r="E25">
            <v>80</v>
          </cell>
          <cell r="F25">
            <v>80</v>
          </cell>
        </row>
        <row r="27">
          <cell r="A27" t="str">
            <v>MT</v>
          </cell>
          <cell r="B27" t="str">
            <v>MOVIMIENTO DE TIERRA</v>
          </cell>
        </row>
        <row r="28">
          <cell r="A28" t="str">
            <v>MT01.001</v>
          </cell>
          <cell r="B28" t="str">
            <v>Carguío</v>
          </cell>
          <cell r="C28" t="str">
            <v>m3E</v>
          </cell>
          <cell r="D28">
            <v>1</v>
          </cell>
          <cell r="E28">
            <v>20</v>
          </cell>
          <cell r="F28">
            <v>20</v>
          </cell>
        </row>
        <row r="29">
          <cell r="A29" t="str">
            <v>MT01.002</v>
          </cell>
          <cell r="B29" t="str">
            <v>Arranque</v>
          </cell>
          <cell r="C29" t="str">
            <v>m3E</v>
          </cell>
          <cell r="D29">
            <v>1</v>
          </cell>
          <cell r="E29">
            <v>4</v>
          </cell>
          <cell r="F29">
            <v>4</v>
          </cell>
        </row>
        <row r="30">
          <cell r="A30" t="str">
            <v>MT01.003</v>
          </cell>
          <cell r="B30" t="str">
            <v>Acarreo Adicional en Ciudad</v>
          </cell>
          <cell r="C30" t="str">
            <v>m3E-Km</v>
          </cell>
          <cell r="D30">
            <v>1</v>
          </cell>
          <cell r="E30">
            <v>3</v>
          </cell>
          <cell r="F30">
            <v>3</v>
          </cell>
        </row>
        <row r="38">
          <cell r="A38" t="str">
            <v>EQ</v>
          </cell>
          <cell r="B38" t="str">
            <v>COSTO HORARIO DE MAQUINARIA</v>
          </cell>
        </row>
        <row r="39">
          <cell r="A39" t="str">
            <v>EQ01.</v>
          </cell>
          <cell r="B39" t="str">
            <v>EQUIPOS PROPIOS</v>
          </cell>
        </row>
        <row r="40">
          <cell r="A40" t="str">
            <v>EQ01.001</v>
          </cell>
          <cell r="B40" t="str">
            <v>Retroexcavadora</v>
          </cell>
          <cell r="C40" t="str">
            <v>hr</v>
          </cell>
          <cell r="D40">
            <v>1</v>
          </cell>
          <cell r="E40">
            <v>1200</v>
          </cell>
          <cell r="F40">
            <v>1200</v>
          </cell>
        </row>
        <row r="41">
          <cell r="A41" t="str">
            <v>EQ01.002</v>
          </cell>
          <cell r="B41" t="str">
            <v>Compresor</v>
          </cell>
          <cell r="C41" t="str">
            <v>hr</v>
          </cell>
          <cell r="D41">
            <v>1</v>
          </cell>
          <cell r="E41">
            <v>1200</v>
          </cell>
          <cell r="F41">
            <v>1200</v>
          </cell>
        </row>
        <row r="42">
          <cell r="A42" t="str">
            <v>EQ02.001</v>
          </cell>
          <cell r="B42" t="str">
            <v>Ligadora de 2 fundas</v>
          </cell>
          <cell r="C42" t="str">
            <v>hr</v>
          </cell>
          <cell r="D42">
            <v>1</v>
          </cell>
          <cell r="E42">
            <v>108.58</v>
          </cell>
          <cell r="F42">
            <v>108.58</v>
          </cell>
        </row>
        <row r="43">
          <cell r="A43" t="str">
            <v>EQ02.002</v>
          </cell>
          <cell r="B43" t="str">
            <v>Winche</v>
          </cell>
          <cell r="C43" t="str">
            <v>hr</v>
          </cell>
          <cell r="D43">
            <v>1</v>
          </cell>
          <cell r="E43">
            <v>86.79</v>
          </cell>
          <cell r="F43">
            <v>86.79</v>
          </cell>
        </row>
        <row r="44">
          <cell r="A44" t="str">
            <v>EQ03.001</v>
          </cell>
          <cell r="B44" t="str">
            <v>Compactador de Mano (12"x12")</v>
          </cell>
          <cell r="C44" t="str">
            <v>hr</v>
          </cell>
          <cell r="D44">
            <v>1</v>
          </cell>
          <cell r="E44">
            <v>112.5</v>
          </cell>
          <cell r="F44">
            <v>112.5</v>
          </cell>
        </row>
        <row r="49">
          <cell r="A49" t="str">
            <v>JD</v>
          </cell>
          <cell r="B49" t="str">
            <v>JORNALES DIARIOS</v>
          </cell>
        </row>
        <row r="50">
          <cell r="A50" t="str">
            <v>JD01.001</v>
          </cell>
          <cell r="B50" t="str">
            <v>Jornal diario TECNICO NO CALIFICADO O PEON (TNC)</v>
          </cell>
          <cell r="C50" t="str">
            <v>Día</v>
          </cell>
          <cell r="D50">
            <v>1</v>
          </cell>
          <cell r="E50">
            <v>125</v>
          </cell>
          <cell r="F50">
            <v>125</v>
          </cell>
        </row>
        <row r="51">
          <cell r="A51" t="str">
            <v>JD01.002</v>
          </cell>
          <cell r="B51" t="str">
            <v>Jornal diario TECNICO CALIFICADO (TC)</v>
          </cell>
          <cell r="C51" t="str">
            <v>Día</v>
          </cell>
          <cell r="D51">
            <v>1</v>
          </cell>
          <cell r="E51">
            <v>135</v>
          </cell>
          <cell r="F51">
            <v>135</v>
          </cell>
        </row>
        <row r="52">
          <cell r="A52" t="str">
            <v>JD01.003</v>
          </cell>
          <cell r="B52" t="str">
            <v>Jornal diario AYUDANTE (AY)</v>
          </cell>
          <cell r="C52" t="str">
            <v>Día</v>
          </cell>
          <cell r="D52">
            <v>1</v>
          </cell>
          <cell r="E52">
            <v>150</v>
          </cell>
          <cell r="F52">
            <v>150</v>
          </cell>
        </row>
        <row r="53">
          <cell r="A53" t="str">
            <v>JD01.004</v>
          </cell>
          <cell r="B53" t="str">
            <v>Jornal diario Operario de TERCERA CATEGORIA (OP3)</v>
          </cell>
          <cell r="C53" t="str">
            <v>Día</v>
          </cell>
          <cell r="D53">
            <v>1</v>
          </cell>
          <cell r="E53">
            <v>175</v>
          </cell>
          <cell r="F53">
            <v>175</v>
          </cell>
        </row>
        <row r="54">
          <cell r="A54" t="str">
            <v>JD01.005</v>
          </cell>
          <cell r="B54" t="str">
            <v>Jornal diario Operario de SEGUNDA CATEGORIA (OP2)</v>
          </cell>
          <cell r="C54" t="str">
            <v>Día</v>
          </cell>
          <cell r="D54">
            <v>1</v>
          </cell>
          <cell r="E54">
            <v>250</v>
          </cell>
          <cell r="F54">
            <v>250</v>
          </cell>
        </row>
        <row r="55">
          <cell r="A55" t="str">
            <v>JD01.006</v>
          </cell>
          <cell r="B55" t="str">
            <v>Jornal diario Operario de PRIMERA CATEGORIA (OP1)</v>
          </cell>
          <cell r="C55" t="str">
            <v>Día</v>
          </cell>
          <cell r="D55">
            <v>1</v>
          </cell>
          <cell r="E55">
            <v>300</v>
          </cell>
          <cell r="F55">
            <v>300</v>
          </cell>
        </row>
        <row r="56">
          <cell r="A56" t="str">
            <v>JD01.007</v>
          </cell>
          <cell r="B56" t="str">
            <v>Jornal diario MAESTRO</v>
          </cell>
          <cell r="C56" t="str">
            <v>Día</v>
          </cell>
          <cell r="D56">
            <v>1</v>
          </cell>
          <cell r="E56">
            <v>350</v>
          </cell>
          <cell r="F56">
            <v>350</v>
          </cell>
        </row>
        <row r="57">
          <cell r="A57" t="str">
            <v>JD01.008</v>
          </cell>
          <cell r="B57" t="str">
            <v>Brigada de Topografía</v>
          </cell>
          <cell r="C57" t="str">
            <v>Día</v>
          </cell>
          <cell r="D57">
            <v>1</v>
          </cell>
          <cell r="E57">
            <v>1000</v>
          </cell>
          <cell r="F57">
            <v>1000</v>
          </cell>
        </row>
        <row r="68">
          <cell r="A68" t="str">
            <v>AL</v>
          </cell>
          <cell r="B68" t="str">
            <v>ALFARERIA</v>
          </cell>
          <cell r="D68" t="str">
            <v/>
          </cell>
          <cell r="F68" t="str">
            <v/>
          </cell>
        </row>
        <row r="69">
          <cell r="A69" t="str">
            <v>AL01.001</v>
          </cell>
          <cell r="B69" t="str">
            <v>Ladrillos macisos 2" x 4" x 8"</v>
          </cell>
          <cell r="C69" t="str">
            <v>u</v>
          </cell>
          <cell r="D69">
            <v>1</v>
          </cell>
          <cell r="E69">
            <v>4</v>
          </cell>
          <cell r="F69">
            <v>4</v>
          </cell>
        </row>
        <row r="70">
          <cell r="A70" t="str">
            <v>AL01.002</v>
          </cell>
          <cell r="B70" t="str">
            <v>Ladrillos biscochos 2" x 2" x 8"</v>
          </cell>
          <cell r="C70" t="str">
            <v>u</v>
          </cell>
          <cell r="D70">
            <v>1</v>
          </cell>
          <cell r="E70">
            <v>3.3</v>
          </cell>
          <cell r="F70">
            <v>3.3</v>
          </cell>
        </row>
        <row r="71">
          <cell r="A71" t="str">
            <v>AL01.003</v>
          </cell>
          <cell r="B71" t="str">
            <v>Losas de barro tipo Feria grande</v>
          </cell>
          <cell r="C71" t="str">
            <v>u</v>
          </cell>
          <cell r="D71">
            <v>1</v>
          </cell>
          <cell r="E71">
            <v>3.1</v>
          </cell>
          <cell r="F71">
            <v>3.1</v>
          </cell>
        </row>
        <row r="72">
          <cell r="A72" t="str">
            <v>AL01.004</v>
          </cell>
          <cell r="B72" t="str">
            <v>Losa de barro tipo feria pequeña</v>
          </cell>
          <cell r="C72" t="str">
            <v>u</v>
          </cell>
          <cell r="D72">
            <v>1</v>
          </cell>
          <cell r="E72">
            <v>1.3</v>
          </cell>
          <cell r="F72">
            <v>1.3</v>
          </cell>
        </row>
        <row r="73">
          <cell r="A73" t="str">
            <v>AL01.005</v>
          </cell>
          <cell r="B73" t="str">
            <v>Losa de barro exagonal grande</v>
          </cell>
          <cell r="C73" t="str">
            <v>u</v>
          </cell>
          <cell r="D73">
            <v>1</v>
          </cell>
          <cell r="E73">
            <v>3.5</v>
          </cell>
          <cell r="F73">
            <v>3.5</v>
          </cell>
        </row>
        <row r="74">
          <cell r="A74" t="str">
            <v>AL01.006</v>
          </cell>
          <cell r="B74" t="str">
            <v>Losa de barro exagonal  pequeña.</v>
          </cell>
          <cell r="C74" t="str">
            <v>u</v>
          </cell>
          <cell r="D74">
            <v>1</v>
          </cell>
          <cell r="E74">
            <v>1.6</v>
          </cell>
          <cell r="F74">
            <v>1.6</v>
          </cell>
        </row>
        <row r="75">
          <cell r="A75" t="str">
            <v>AL01.007</v>
          </cell>
          <cell r="B75" t="str">
            <v>Losa de barro de 8" x 8"</v>
          </cell>
          <cell r="C75" t="str">
            <v>u</v>
          </cell>
          <cell r="D75">
            <v>1</v>
          </cell>
          <cell r="E75">
            <v>3.5</v>
          </cell>
          <cell r="F75">
            <v>3.5</v>
          </cell>
        </row>
        <row r="76">
          <cell r="A76" t="str">
            <v>AL01.008</v>
          </cell>
          <cell r="B76" t="str">
            <v>Zócalos de barro de 10 1/2" x 3"</v>
          </cell>
          <cell r="C76" t="str">
            <v>u</v>
          </cell>
          <cell r="D76">
            <v>1</v>
          </cell>
          <cell r="E76">
            <v>3</v>
          </cell>
          <cell r="F76">
            <v>3</v>
          </cell>
        </row>
        <row r="77">
          <cell r="A77" t="str">
            <v>AL01.009</v>
          </cell>
          <cell r="B77" t="str">
            <v>Calados corrientes de barro en 6" x 6" x 6"</v>
          </cell>
          <cell r="C77" t="str">
            <v>u</v>
          </cell>
          <cell r="D77">
            <v>1</v>
          </cell>
          <cell r="E77">
            <v>3.74</v>
          </cell>
          <cell r="F77">
            <v>3.74</v>
          </cell>
        </row>
        <row r="78">
          <cell r="A78" t="str">
            <v>AL01.010</v>
          </cell>
          <cell r="B78" t="str">
            <v>Calados corrientes de barro en 8" x 8" x 6"</v>
          </cell>
          <cell r="C78" t="str">
            <v>u</v>
          </cell>
          <cell r="D78">
            <v>1</v>
          </cell>
          <cell r="E78">
            <v>5.0199999999999996</v>
          </cell>
          <cell r="F78">
            <v>5.0199999999999996</v>
          </cell>
        </row>
        <row r="79">
          <cell r="A79" t="str">
            <v>AL01.011</v>
          </cell>
          <cell r="B79" t="str">
            <v>Tejas de 14"</v>
          </cell>
          <cell r="C79" t="str">
            <v>u</v>
          </cell>
          <cell r="D79">
            <v>1</v>
          </cell>
          <cell r="E79">
            <v>4.2</v>
          </cell>
          <cell r="F79">
            <v>4.2</v>
          </cell>
        </row>
        <row r="80">
          <cell r="A80" t="str">
            <v>AL01.012</v>
          </cell>
          <cell r="B80" t="str">
            <v>Caballete de 1', para tejas "Floridianas"</v>
          </cell>
          <cell r="C80" t="str">
            <v>u</v>
          </cell>
          <cell r="D80">
            <v>1</v>
          </cell>
          <cell r="E80">
            <v>13.2</v>
          </cell>
          <cell r="F80">
            <v>13.2</v>
          </cell>
        </row>
        <row r="81">
          <cell r="A81" t="str">
            <v>BF</v>
          </cell>
          <cell r="B81" t="str">
            <v>BAÑO, FREGADERO Y CALENTADOR</v>
          </cell>
          <cell r="D81" t="str">
            <v/>
          </cell>
          <cell r="F81" t="str">
            <v/>
          </cell>
        </row>
        <row r="82">
          <cell r="A82" t="str">
            <v>BF01.</v>
          </cell>
          <cell r="B82" t="str">
            <v>Baños</v>
          </cell>
          <cell r="D82" t="str">
            <v/>
          </cell>
          <cell r="F82" t="str">
            <v/>
          </cell>
        </row>
        <row r="83">
          <cell r="A83" t="str">
            <v>BF01.001</v>
          </cell>
          <cell r="B83" t="str">
            <v>Juego baño, 3 pzas. Color, sin Accesorios</v>
          </cell>
          <cell r="C83" t="str">
            <v>jgo</v>
          </cell>
          <cell r="D83">
            <v>1</v>
          </cell>
          <cell r="E83">
            <v>4840</v>
          </cell>
          <cell r="F83">
            <v>4840</v>
          </cell>
        </row>
        <row r="84">
          <cell r="A84" t="str">
            <v>BF01.002</v>
          </cell>
          <cell r="B84" t="str">
            <v>Juego baño 3 pzas. Blanco, sin Accesorios</v>
          </cell>
          <cell r="C84" t="str">
            <v>jgo</v>
          </cell>
          <cell r="D84">
            <v>1</v>
          </cell>
          <cell r="E84">
            <v>4610</v>
          </cell>
          <cell r="F84">
            <v>4610</v>
          </cell>
        </row>
        <row r="85">
          <cell r="A85" t="str">
            <v>BF01.003</v>
          </cell>
          <cell r="B85" t="str">
            <v>Inodoro Color, corriente, "Isabela", con tapa, sin accesorios</v>
          </cell>
          <cell r="C85" t="str">
            <v>u</v>
          </cell>
          <cell r="D85">
            <v>1</v>
          </cell>
          <cell r="E85">
            <v>1365</v>
          </cell>
          <cell r="F85">
            <v>1365</v>
          </cell>
        </row>
        <row r="86">
          <cell r="A86" t="str">
            <v>BF01.004</v>
          </cell>
          <cell r="B86" t="str">
            <v>Inodoro Blanco, con tapa, "Simplex",sin accesorios</v>
          </cell>
          <cell r="C86" t="str">
            <v>u</v>
          </cell>
          <cell r="D86">
            <v>1</v>
          </cell>
          <cell r="E86">
            <v>1065</v>
          </cell>
          <cell r="F86">
            <v>1065</v>
          </cell>
        </row>
        <row r="87">
          <cell r="A87" t="str">
            <v>BF01.005</v>
          </cell>
          <cell r="B87" t="str">
            <v>Inodoro Blanco sin tapa, "Simplex", sin accesorios</v>
          </cell>
          <cell r="C87" t="str">
            <v>u</v>
          </cell>
          <cell r="D87">
            <v>1</v>
          </cell>
          <cell r="E87">
            <v>975</v>
          </cell>
          <cell r="F87">
            <v>975</v>
          </cell>
        </row>
        <row r="88">
          <cell r="A88" t="str">
            <v>BF01.006</v>
          </cell>
          <cell r="B88" t="str">
            <v>Inodoro Color, Alargado, con tapa, "Royal",sin accesorios</v>
          </cell>
          <cell r="C88" t="str">
            <v>u</v>
          </cell>
          <cell r="D88">
            <v>1</v>
          </cell>
          <cell r="E88">
            <v>1975</v>
          </cell>
          <cell r="F88">
            <v>1975</v>
          </cell>
        </row>
        <row r="89">
          <cell r="A89" t="str">
            <v>BF01.007</v>
          </cell>
          <cell r="B89" t="str">
            <v>Inodoro Blanco, Alargado, con tapa, "Royal",sin accesorios</v>
          </cell>
          <cell r="C89" t="str">
            <v>u</v>
          </cell>
          <cell r="D89">
            <v>1</v>
          </cell>
          <cell r="E89">
            <v>1800</v>
          </cell>
          <cell r="F89">
            <v>1800</v>
          </cell>
        </row>
        <row r="90">
          <cell r="A90" t="str">
            <v>BF01.008</v>
          </cell>
          <cell r="B90" t="str">
            <v>Inodoro Fluxometro Blanco, "Royal", sin válvula</v>
          </cell>
          <cell r="C90" t="str">
            <v>u</v>
          </cell>
          <cell r="D90">
            <v>1</v>
          </cell>
          <cell r="E90">
            <v>985</v>
          </cell>
          <cell r="F90">
            <v>985</v>
          </cell>
        </row>
        <row r="91">
          <cell r="A91" t="str">
            <v>BF01.009</v>
          </cell>
          <cell r="B91" t="str">
            <v>Lavamanos Color, 19"x17","Isabela", sin mezcladora y sin accesorios</v>
          </cell>
          <cell r="C91" t="str">
            <v>u</v>
          </cell>
          <cell r="D91">
            <v>1</v>
          </cell>
          <cell r="E91">
            <v>440</v>
          </cell>
          <cell r="F91">
            <v>440</v>
          </cell>
        </row>
        <row r="92">
          <cell r="A92" t="str">
            <v>BF01.010</v>
          </cell>
          <cell r="B92" t="str">
            <v>Lavamanos Blanco, 19"x17","Isabela", sin mezcladora y sin accesorios</v>
          </cell>
          <cell r="C92" t="str">
            <v>u</v>
          </cell>
          <cell r="D92">
            <v>1</v>
          </cell>
          <cell r="E92">
            <v>385</v>
          </cell>
          <cell r="F92">
            <v>385</v>
          </cell>
        </row>
        <row r="93">
          <cell r="A93" t="str">
            <v>BF01.011</v>
          </cell>
          <cell r="B93" t="str">
            <v>Lavamanos ovalado "SAONA" a COLOR, sin mezcladora  y sin accesorios</v>
          </cell>
          <cell r="C93" t="str">
            <v>u</v>
          </cell>
          <cell r="D93">
            <v>1</v>
          </cell>
          <cell r="E93">
            <v>695</v>
          </cell>
          <cell r="F93">
            <v>695</v>
          </cell>
        </row>
        <row r="94">
          <cell r="A94" t="str">
            <v>BF01.012</v>
          </cell>
          <cell r="B94" t="str">
            <v>Lavamanos ovalado, "Saona" a BLANCO, sin mezcladora y Accesorios.</v>
          </cell>
          <cell r="C94" t="str">
            <v>u</v>
          </cell>
          <cell r="D94">
            <v>1</v>
          </cell>
          <cell r="E94">
            <v>625</v>
          </cell>
          <cell r="F94">
            <v>625</v>
          </cell>
        </row>
        <row r="95">
          <cell r="A95" t="str">
            <v>BF01.013</v>
          </cell>
          <cell r="B95" t="str">
            <v>Orinal pequeño, Blanco, sin la llave</v>
          </cell>
          <cell r="C95" t="str">
            <v>u</v>
          </cell>
          <cell r="D95">
            <v>1</v>
          </cell>
          <cell r="E95">
            <v>630</v>
          </cell>
          <cell r="F95">
            <v>630</v>
          </cell>
        </row>
        <row r="96">
          <cell r="A96" t="str">
            <v>BF01.014</v>
          </cell>
          <cell r="B96" t="str">
            <v>Orinal 1/2 falda, Blanco, sin llave y sin válvula</v>
          </cell>
          <cell r="C96" t="str">
            <v>u</v>
          </cell>
          <cell r="D96">
            <v>1</v>
          </cell>
          <cell r="E96">
            <v>2645</v>
          </cell>
          <cell r="F96">
            <v>2645</v>
          </cell>
        </row>
        <row r="97">
          <cell r="A97" t="str">
            <v>BF01.015</v>
          </cell>
          <cell r="B97" t="str">
            <v>Orinal falda entera, Blanco, sin llave y sin válvula</v>
          </cell>
          <cell r="C97" t="str">
            <v>u</v>
          </cell>
          <cell r="D97">
            <v>1</v>
          </cell>
          <cell r="E97">
            <v>5625</v>
          </cell>
          <cell r="F97">
            <v>5625</v>
          </cell>
        </row>
        <row r="98">
          <cell r="A98" t="str">
            <v>BF01.016</v>
          </cell>
          <cell r="B98" t="str">
            <v>Bidet a Color "Royal", sin mezcladora y sin accesorios</v>
          </cell>
          <cell r="C98" t="str">
            <v>u</v>
          </cell>
          <cell r="D98">
            <v>1</v>
          </cell>
          <cell r="E98">
            <v>825</v>
          </cell>
          <cell r="F98">
            <v>825</v>
          </cell>
        </row>
        <row r="99">
          <cell r="A99" t="str">
            <v>BF01.017</v>
          </cell>
          <cell r="B99" t="str">
            <v>Bidet Blanco "Royal", sin mezcladora y sin accesorios</v>
          </cell>
          <cell r="C99" t="str">
            <v>u</v>
          </cell>
          <cell r="D99">
            <v>1</v>
          </cell>
          <cell r="E99">
            <v>740</v>
          </cell>
          <cell r="F99">
            <v>740</v>
          </cell>
        </row>
        <row r="100">
          <cell r="A100" t="str">
            <v>BF01.018</v>
          </cell>
          <cell r="B100" t="str">
            <v>Bañera a Color, Hierro Fundido, sin mezcladora y sin ducha</v>
          </cell>
          <cell r="C100" t="str">
            <v>u</v>
          </cell>
          <cell r="D100">
            <v>1</v>
          </cell>
          <cell r="E100">
            <v>5825</v>
          </cell>
          <cell r="F100">
            <v>5825</v>
          </cell>
        </row>
        <row r="101">
          <cell r="A101" t="str">
            <v>BF01.019</v>
          </cell>
          <cell r="B101" t="str">
            <v>Bañera Blanca, Hierro Fundido, sin mezcladora y sin ducha</v>
          </cell>
          <cell r="C101" t="str">
            <v>u</v>
          </cell>
          <cell r="D101">
            <v>1</v>
          </cell>
          <cell r="E101">
            <v>4695</v>
          </cell>
          <cell r="F101">
            <v>4695</v>
          </cell>
        </row>
        <row r="102">
          <cell r="A102" t="str">
            <v>BF01.020</v>
          </cell>
          <cell r="B102" t="str">
            <v>Bañera a Color, liviana, sin mezcladora y sin ducha</v>
          </cell>
          <cell r="C102" t="str">
            <v>u</v>
          </cell>
          <cell r="D102">
            <v>1</v>
          </cell>
          <cell r="E102">
            <v>2425</v>
          </cell>
          <cell r="F102">
            <v>2425</v>
          </cell>
        </row>
        <row r="103">
          <cell r="A103" t="str">
            <v>BF01.021</v>
          </cell>
          <cell r="B103" t="str">
            <v>Bañera a Blanca, liviana, sin mezcladora y sin ducha</v>
          </cell>
          <cell r="C103" t="str">
            <v>u</v>
          </cell>
          <cell r="D103">
            <v>1</v>
          </cell>
          <cell r="E103">
            <v>2425</v>
          </cell>
          <cell r="F103">
            <v>2425</v>
          </cell>
        </row>
        <row r="104">
          <cell r="A104" t="str">
            <v>BF02.</v>
          </cell>
          <cell r="B104" t="str">
            <v>Fregadero</v>
          </cell>
          <cell r="D104" t="str">
            <v/>
          </cell>
          <cell r="F104" t="str">
            <v/>
          </cell>
        </row>
        <row r="105">
          <cell r="A105" t="str">
            <v>BF02.001</v>
          </cell>
          <cell r="B105" t="str">
            <v>Fregadero/Bar acero inox.,20"x 21", sin mezcladora y sin accesorios</v>
          </cell>
          <cell r="C105" t="str">
            <v>u</v>
          </cell>
          <cell r="D105">
            <v>1</v>
          </cell>
          <cell r="E105">
            <v>450</v>
          </cell>
          <cell r="F105">
            <v>350</v>
          </cell>
        </row>
        <row r="106">
          <cell r="A106" t="str">
            <v>BF02.002</v>
          </cell>
          <cell r="B106" t="str">
            <v>Fregadero Sencillo acero inox.,25"x22, sin mezcladora y sin accesorios</v>
          </cell>
          <cell r="C106" t="str">
            <v>u</v>
          </cell>
          <cell r="D106">
            <v>1</v>
          </cell>
          <cell r="E106">
            <v>500</v>
          </cell>
          <cell r="F106">
            <v>400</v>
          </cell>
        </row>
        <row r="107">
          <cell r="A107" t="str">
            <v>BF02.003</v>
          </cell>
          <cell r="B107" t="str">
            <v>Fregadero Doble acero inox.,33"x22",sin mezcladora y sin accesorios</v>
          </cell>
          <cell r="C107" t="str">
            <v>u</v>
          </cell>
          <cell r="D107">
            <v>1</v>
          </cell>
          <cell r="E107">
            <v>750</v>
          </cell>
          <cell r="F107">
            <v>775</v>
          </cell>
        </row>
        <row r="108">
          <cell r="A108" t="str">
            <v>BF03.</v>
          </cell>
          <cell r="B108" t="str">
            <v>Calentador</v>
          </cell>
          <cell r="D108" t="str">
            <v/>
          </cell>
          <cell r="F108" t="str">
            <v/>
          </cell>
        </row>
        <row r="109">
          <cell r="A109" t="str">
            <v>BF03.001</v>
          </cell>
          <cell r="B109" t="str">
            <v>Calentador eléctrico de 20 galones (criollo)</v>
          </cell>
          <cell r="C109" t="str">
            <v>u</v>
          </cell>
          <cell r="D109">
            <v>1</v>
          </cell>
          <cell r="E109">
            <v>1675</v>
          </cell>
          <cell r="F109">
            <v>1675</v>
          </cell>
        </row>
        <row r="110">
          <cell r="A110" t="str">
            <v>BF03.002</v>
          </cell>
          <cell r="B110" t="str">
            <v>Calentador eléctrico de 30 galones (criollo)</v>
          </cell>
          <cell r="C110" t="str">
            <v>u</v>
          </cell>
          <cell r="D110">
            <v>1</v>
          </cell>
          <cell r="E110">
            <v>2095</v>
          </cell>
          <cell r="F110">
            <v>2095</v>
          </cell>
        </row>
        <row r="111">
          <cell r="A111" t="str">
            <v>BF03.003</v>
          </cell>
          <cell r="B111" t="str">
            <v>Calentador eléctrico de 40 galones (criollo)</v>
          </cell>
          <cell r="C111" t="str">
            <v>u</v>
          </cell>
          <cell r="D111">
            <v>1</v>
          </cell>
          <cell r="E111">
            <v>2825</v>
          </cell>
          <cell r="F111">
            <v>2825</v>
          </cell>
        </row>
        <row r="112">
          <cell r="A112" t="str">
            <v>BF03.004</v>
          </cell>
          <cell r="B112" t="str">
            <v>Calentador eléctrico de 60 galones (criollo)</v>
          </cell>
          <cell r="C112" t="str">
            <v>u</v>
          </cell>
          <cell r="D112">
            <v>1</v>
          </cell>
          <cell r="E112">
            <v>4325</v>
          </cell>
          <cell r="F112">
            <v>4325</v>
          </cell>
        </row>
        <row r="113">
          <cell r="A113" t="str">
            <v>BF03.005</v>
          </cell>
          <cell r="B113" t="str">
            <v>Calentador eléctrico de 20 galones (USA)</v>
          </cell>
          <cell r="C113" t="str">
            <v>u</v>
          </cell>
          <cell r="D113">
            <v>1</v>
          </cell>
          <cell r="E113">
            <v>4125</v>
          </cell>
          <cell r="F113">
            <v>4125</v>
          </cell>
        </row>
        <row r="114">
          <cell r="A114" t="str">
            <v>BF03.006</v>
          </cell>
          <cell r="B114" t="str">
            <v>Calentador eléctrico de 30 galones (USA)</v>
          </cell>
          <cell r="C114" t="str">
            <v>u</v>
          </cell>
          <cell r="D114">
            <v>1</v>
          </cell>
          <cell r="E114">
            <v>4325</v>
          </cell>
          <cell r="F114">
            <v>4325</v>
          </cell>
        </row>
        <row r="115">
          <cell r="A115" t="str">
            <v>BF03.007</v>
          </cell>
          <cell r="B115" t="str">
            <v>Calentador eléctrico de 40 galones (USA)</v>
          </cell>
          <cell r="C115" t="str">
            <v>u</v>
          </cell>
          <cell r="D115">
            <v>1</v>
          </cell>
          <cell r="E115">
            <v>4550</v>
          </cell>
          <cell r="F115">
            <v>4550</v>
          </cell>
        </row>
        <row r="116">
          <cell r="A116" t="str">
            <v>BF03.008</v>
          </cell>
          <cell r="B116" t="str">
            <v>Calentador eléctrico de 50 galones (USA)</v>
          </cell>
          <cell r="C116" t="str">
            <v>u</v>
          </cell>
          <cell r="D116">
            <v>1</v>
          </cell>
          <cell r="E116">
            <v>4825</v>
          </cell>
          <cell r="F116">
            <v>4825</v>
          </cell>
        </row>
        <row r="117">
          <cell r="A117" t="str">
            <v>BF04.</v>
          </cell>
          <cell r="B117" t="str">
            <v>Accesorios</v>
          </cell>
          <cell r="D117" t="str">
            <v/>
          </cell>
          <cell r="F117" t="str">
            <v/>
          </cell>
        </row>
        <row r="118">
          <cell r="A118" t="str">
            <v>BF04.001</v>
          </cell>
          <cell r="B118" t="str">
            <v>Botiquín corriente, cromado, 1 puerta, luz</v>
          </cell>
          <cell r="C118" t="str">
            <v>u</v>
          </cell>
          <cell r="D118">
            <v>1</v>
          </cell>
          <cell r="E118">
            <v>850</v>
          </cell>
          <cell r="F118">
            <v>850</v>
          </cell>
        </row>
        <row r="119">
          <cell r="A119" t="str">
            <v>BF04.002</v>
          </cell>
          <cell r="B119" t="str">
            <v>Botiquín corriente, cromado, 2 puertas, luz</v>
          </cell>
          <cell r="C119" t="str">
            <v>u</v>
          </cell>
          <cell r="D119">
            <v>1</v>
          </cell>
          <cell r="E119">
            <v>995</v>
          </cell>
          <cell r="F119">
            <v>995</v>
          </cell>
        </row>
        <row r="120">
          <cell r="A120" t="str">
            <v>BF04.003</v>
          </cell>
          <cell r="B120" t="str">
            <v>Botiquín cromado, 3 puertas, 3 luces</v>
          </cell>
          <cell r="C120" t="str">
            <v>u</v>
          </cell>
          <cell r="D120">
            <v>1</v>
          </cell>
          <cell r="E120">
            <v>1875</v>
          </cell>
          <cell r="F120">
            <v>1875</v>
          </cell>
        </row>
        <row r="121">
          <cell r="A121" t="str">
            <v>BF04.004</v>
          </cell>
          <cell r="B121" t="str">
            <v>Botiquín cromado, 3 puertas, 2 luces, 3 cajones</v>
          </cell>
          <cell r="C121" t="str">
            <v>u</v>
          </cell>
          <cell r="D121">
            <v>1</v>
          </cell>
          <cell r="E121">
            <v>2375</v>
          </cell>
          <cell r="F121">
            <v>2375</v>
          </cell>
        </row>
        <row r="122">
          <cell r="A122" t="str">
            <v>BF04.005</v>
          </cell>
          <cell r="B122" t="str">
            <v>Botiquín madera americana, 16"x27", 1 puerta</v>
          </cell>
          <cell r="C122" t="str">
            <v>u</v>
          </cell>
          <cell r="D122">
            <v>1</v>
          </cell>
          <cell r="E122">
            <v>1500</v>
          </cell>
          <cell r="F122">
            <v>1500</v>
          </cell>
        </row>
        <row r="123">
          <cell r="A123" t="str">
            <v>BF04.006</v>
          </cell>
          <cell r="B123" t="str">
            <v>Botiquín madera americana, 36"x30",3 puertas</v>
          </cell>
          <cell r="C123" t="str">
            <v>u</v>
          </cell>
          <cell r="D123">
            <v>1</v>
          </cell>
          <cell r="E123">
            <v>2850</v>
          </cell>
          <cell r="F123">
            <v>2850</v>
          </cell>
        </row>
        <row r="124">
          <cell r="A124" t="str">
            <v>BF04.007</v>
          </cell>
          <cell r="B124" t="str">
            <v>Ducha completa, cromada</v>
          </cell>
          <cell r="C124" t="str">
            <v>u</v>
          </cell>
          <cell r="D124">
            <v>1</v>
          </cell>
          <cell r="E124">
            <v>22</v>
          </cell>
          <cell r="F124">
            <v>22</v>
          </cell>
        </row>
        <row r="125">
          <cell r="A125" t="str">
            <v>BF04.008</v>
          </cell>
          <cell r="B125" t="str">
            <v>Llave angular de 3/8", "Taiwan"</v>
          </cell>
          <cell r="C125" t="str">
            <v>u</v>
          </cell>
          <cell r="D125">
            <v>1</v>
          </cell>
          <cell r="E125">
            <v>18</v>
          </cell>
          <cell r="F125">
            <v>18</v>
          </cell>
        </row>
        <row r="126">
          <cell r="A126" t="str">
            <v>BF04.009</v>
          </cell>
          <cell r="B126" t="str">
            <v>Llave de chorro de 1/2", "Nibco"</v>
          </cell>
          <cell r="C126" t="str">
            <v>u</v>
          </cell>
          <cell r="D126">
            <v>1</v>
          </cell>
          <cell r="E126">
            <v>45</v>
          </cell>
          <cell r="F126">
            <v>45</v>
          </cell>
        </row>
        <row r="127">
          <cell r="A127" t="str">
            <v>BF04.010</v>
          </cell>
          <cell r="B127" t="str">
            <v xml:space="preserve">Llave sencilla cromada, para lavamanos pequeño </v>
          </cell>
          <cell r="C127" t="str">
            <v>u</v>
          </cell>
          <cell r="D127">
            <v>1</v>
          </cell>
          <cell r="E127">
            <v>36</v>
          </cell>
          <cell r="F127">
            <v>36</v>
          </cell>
        </row>
        <row r="128">
          <cell r="A128" t="str">
            <v>BF04.011</v>
          </cell>
          <cell r="B128" t="str">
            <v>Llave cromada, para orinal pequeño</v>
          </cell>
          <cell r="C128" t="str">
            <v>u</v>
          </cell>
          <cell r="D128">
            <v>1</v>
          </cell>
          <cell r="E128">
            <v>85</v>
          </cell>
          <cell r="F128">
            <v>85</v>
          </cell>
        </row>
        <row r="129">
          <cell r="A129" t="str">
            <v>BF04.012</v>
          </cell>
          <cell r="B129" t="str">
            <v>Llave de empotrar de 1/2", cromada</v>
          </cell>
          <cell r="C129" t="str">
            <v>u</v>
          </cell>
          <cell r="D129">
            <v>1</v>
          </cell>
          <cell r="E129">
            <v>91</v>
          </cell>
          <cell r="F129">
            <v>91</v>
          </cell>
        </row>
        <row r="130">
          <cell r="A130" t="str">
            <v>BF04.013</v>
          </cell>
          <cell r="B130" t="str">
            <v>Válvula 3/4" para orinal flúxometro</v>
          </cell>
          <cell r="C130" t="str">
            <v>u</v>
          </cell>
          <cell r="D130">
            <v>1</v>
          </cell>
          <cell r="E130">
            <v>1025</v>
          </cell>
          <cell r="F130">
            <v>1025</v>
          </cell>
        </row>
        <row r="131">
          <cell r="A131" t="str">
            <v>BF04.014</v>
          </cell>
          <cell r="B131" t="str">
            <v>Válvula 1" par orinal flúxometro</v>
          </cell>
          <cell r="C131" t="str">
            <v>u</v>
          </cell>
          <cell r="D131">
            <v>1</v>
          </cell>
          <cell r="E131">
            <v>1065</v>
          </cell>
          <cell r="F131">
            <v>1065</v>
          </cell>
        </row>
        <row r="132">
          <cell r="A132" t="str">
            <v>BF04.015</v>
          </cell>
          <cell r="B132" t="str">
            <v>Tubo flexible con tuerca para lavamanos</v>
          </cell>
          <cell r="C132" t="str">
            <v>u</v>
          </cell>
          <cell r="D132">
            <v>1</v>
          </cell>
          <cell r="E132">
            <v>25</v>
          </cell>
          <cell r="F132">
            <v>25</v>
          </cell>
        </row>
        <row r="133">
          <cell r="A133" t="str">
            <v>BF04.016</v>
          </cell>
          <cell r="B133" t="str">
            <v>Tubo flexible con tuerca para inodoros</v>
          </cell>
          <cell r="C133" t="str">
            <v>u</v>
          </cell>
          <cell r="D133">
            <v>1</v>
          </cell>
          <cell r="E133">
            <v>25</v>
          </cell>
          <cell r="F133">
            <v>25</v>
          </cell>
        </row>
        <row r="134">
          <cell r="A134" t="str">
            <v>BF04.018</v>
          </cell>
          <cell r="B134" t="str">
            <v>Niple 3/8" x 2 1/2", cromado</v>
          </cell>
          <cell r="C134" t="str">
            <v>u</v>
          </cell>
          <cell r="D134">
            <v>1</v>
          </cell>
          <cell r="E134">
            <v>9</v>
          </cell>
          <cell r="F134">
            <v>9</v>
          </cell>
        </row>
        <row r="135">
          <cell r="A135" t="str">
            <v>BF04.019</v>
          </cell>
          <cell r="B135" t="str">
            <v>Junta de Cera</v>
          </cell>
          <cell r="C135" t="str">
            <v>u</v>
          </cell>
          <cell r="D135">
            <v>1</v>
          </cell>
          <cell r="E135">
            <v>8.5</v>
          </cell>
          <cell r="F135">
            <v>8.5</v>
          </cell>
        </row>
        <row r="136">
          <cell r="A136" t="str">
            <v>BF04.020</v>
          </cell>
          <cell r="B136" t="str">
            <v>Arandela Plástica de 3" ó 4", para inodoros</v>
          </cell>
          <cell r="C136" t="str">
            <v>u</v>
          </cell>
          <cell r="D136">
            <v>1</v>
          </cell>
          <cell r="E136">
            <v>28</v>
          </cell>
          <cell r="F136">
            <v>28</v>
          </cell>
        </row>
        <row r="137">
          <cell r="A137" t="str">
            <v>BF04.021</v>
          </cell>
          <cell r="B137" t="str">
            <v>Tornillos para fijar arandela (Juego)</v>
          </cell>
          <cell r="C137" t="str">
            <v>u</v>
          </cell>
          <cell r="D137">
            <v>1</v>
          </cell>
          <cell r="E137">
            <v>2.25</v>
          </cell>
          <cell r="F137">
            <v>2.25</v>
          </cell>
        </row>
        <row r="138">
          <cell r="A138" t="str">
            <v>BF04.022</v>
          </cell>
          <cell r="B138" t="str">
            <v>Palometas fijar lavamanos, en aluminio</v>
          </cell>
          <cell r="C138" t="str">
            <v>par</v>
          </cell>
          <cell r="D138">
            <v>1</v>
          </cell>
          <cell r="E138">
            <v>9</v>
          </cell>
          <cell r="F138">
            <v>9</v>
          </cell>
        </row>
        <row r="139">
          <cell r="A139" t="str">
            <v>BF04.023</v>
          </cell>
          <cell r="B139" t="str">
            <v>Mezcladora para bañera, con desagüe, "PRICE PFISTER USA"</v>
          </cell>
          <cell r="C139" t="str">
            <v>u</v>
          </cell>
          <cell r="D139">
            <v>1</v>
          </cell>
          <cell r="E139">
            <v>975</v>
          </cell>
          <cell r="F139">
            <v>975</v>
          </cell>
        </row>
        <row r="140">
          <cell r="A140" t="str">
            <v>BF04.024</v>
          </cell>
          <cell r="B140" t="str">
            <v>Mezcladora para bidet , "PRICE PFISTER USA", con boquilla</v>
          </cell>
          <cell r="C140" t="str">
            <v>u</v>
          </cell>
          <cell r="D140">
            <v>1</v>
          </cell>
          <cell r="E140">
            <v>1750</v>
          </cell>
          <cell r="F140">
            <v>1750</v>
          </cell>
        </row>
        <row r="141">
          <cell r="A141" t="str">
            <v>BF04.025</v>
          </cell>
          <cell r="B141" t="str">
            <v>Mezcladora para lavamanos "PRICE PFISTER USA" con boquilla</v>
          </cell>
          <cell r="C141" t="str">
            <v>u</v>
          </cell>
          <cell r="D141">
            <v>1</v>
          </cell>
          <cell r="E141">
            <v>675</v>
          </cell>
          <cell r="F141">
            <v>675</v>
          </cell>
        </row>
        <row r="142">
          <cell r="A142" t="str">
            <v>BF04.026</v>
          </cell>
          <cell r="B142" t="str">
            <v>Mezcladora para fregadero "PRICE PFISTER USA", con manguera</v>
          </cell>
          <cell r="C142" t="str">
            <v>u</v>
          </cell>
          <cell r="D142">
            <v>1</v>
          </cell>
          <cell r="E142">
            <v>725</v>
          </cell>
          <cell r="F142">
            <v>725</v>
          </cell>
        </row>
        <row r="143">
          <cell r="A143" t="str">
            <v>BF04.027</v>
          </cell>
          <cell r="B143" t="str">
            <v>Boquilla para lavamanos, automática, cromada, "Sayco"</v>
          </cell>
          <cell r="C143" t="str">
            <v>u</v>
          </cell>
          <cell r="D143">
            <v>1</v>
          </cell>
          <cell r="E143">
            <v>100</v>
          </cell>
          <cell r="F143">
            <v>100</v>
          </cell>
        </row>
        <row r="144">
          <cell r="A144" t="str">
            <v>BF04.028</v>
          </cell>
          <cell r="B144" t="str">
            <v>Boquilla para lavamanos, PVC</v>
          </cell>
          <cell r="C144" t="str">
            <v>u</v>
          </cell>
          <cell r="D144">
            <v>1</v>
          </cell>
          <cell r="E144">
            <v>16</v>
          </cell>
          <cell r="F144">
            <v>16</v>
          </cell>
        </row>
        <row r="145">
          <cell r="A145" t="str">
            <v>BF04.029</v>
          </cell>
          <cell r="B145" t="str">
            <v>Boquilla para fregadero, cromada (c/u)</v>
          </cell>
          <cell r="C145" t="str">
            <v>u</v>
          </cell>
          <cell r="D145">
            <v>1</v>
          </cell>
          <cell r="E145">
            <v>39</v>
          </cell>
          <cell r="F145">
            <v>39</v>
          </cell>
        </row>
        <row r="146">
          <cell r="A146" t="str">
            <v>BF04.030</v>
          </cell>
          <cell r="B146" t="str">
            <v>Boquilla para lavadero, cromada, con tapón</v>
          </cell>
          <cell r="C146" t="str">
            <v>u</v>
          </cell>
          <cell r="D146">
            <v>1</v>
          </cell>
          <cell r="E146">
            <v>22</v>
          </cell>
          <cell r="F146">
            <v>22</v>
          </cell>
        </row>
        <row r="147">
          <cell r="A147" t="str">
            <v>BF04.031</v>
          </cell>
          <cell r="B147" t="str">
            <v>Boquilla para lavadero, PVC, con tapón</v>
          </cell>
          <cell r="C147" t="str">
            <v>u</v>
          </cell>
          <cell r="D147">
            <v>1</v>
          </cell>
          <cell r="E147">
            <v>15.5</v>
          </cell>
          <cell r="F147">
            <v>15.5</v>
          </cell>
        </row>
        <row r="148">
          <cell r="A148" t="str">
            <v>BF04.032</v>
          </cell>
          <cell r="B148" t="str">
            <v>Rejilla 3"x1 1/2",cromada, para piso</v>
          </cell>
          <cell r="C148" t="str">
            <v>u</v>
          </cell>
          <cell r="D148">
            <v>1</v>
          </cell>
          <cell r="E148">
            <v>16.5</v>
          </cell>
          <cell r="F148">
            <v>16.5</v>
          </cell>
        </row>
        <row r="149">
          <cell r="A149" t="str">
            <v>BF04.033</v>
          </cell>
          <cell r="B149" t="str">
            <v>Rejilla 4",aluminio para piso</v>
          </cell>
          <cell r="C149" t="str">
            <v>u</v>
          </cell>
          <cell r="D149">
            <v>1</v>
          </cell>
          <cell r="E149">
            <v>8</v>
          </cell>
          <cell r="F149">
            <v>8</v>
          </cell>
        </row>
        <row r="150">
          <cell r="A150" t="str">
            <v>BF04.034</v>
          </cell>
          <cell r="B150" t="str">
            <v>Sifón lavamanos, 1 1/4", cromado, completo "Nibco"</v>
          </cell>
          <cell r="C150" t="str">
            <v>u</v>
          </cell>
          <cell r="D150">
            <v>1</v>
          </cell>
          <cell r="E150">
            <v>200</v>
          </cell>
          <cell r="F150">
            <v>200</v>
          </cell>
        </row>
        <row r="151">
          <cell r="A151" t="str">
            <v>BF04.035</v>
          </cell>
          <cell r="B151" t="str">
            <v>Sifón lavamanos 1 1/4", PVC</v>
          </cell>
          <cell r="C151" t="str">
            <v>u</v>
          </cell>
          <cell r="D151">
            <v>1</v>
          </cell>
          <cell r="E151">
            <v>25</v>
          </cell>
          <cell r="F151">
            <v>25</v>
          </cell>
        </row>
        <row r="152">
          <cell r="A152" t="str">
            <v>BF04.036</v>
          </cell>
          <cell r="B152" t="str">
            <v>Sifón fregadero 1 1/2", PVC</v>
          </cell>
          <cell r="C152" t="str">
            <v>u</v>
          </cell>
          <cell r="D152">
            <v>1</v>
          </cell>
          <cell r="E152">
            <v>17</v>
          </cell>
          <cell r="F152">
            <v>17</v>
          </cell>
        </row>
        <row r="153">
          <cell r="A153" t="str">
            <v>BF04.037</v>
          </cell>
          <cell r="B153" t="str">
            <v>Desagüe para bañera, PVC</v>
          </cell>
          <cell r="C153" t="str">
            <v>u</v>
          </cell>
          <cell r="D153">
            <v>1</v>
          </cell>
          <cell r="E153">
            <v>175</v>
          </cell>
          <cell r="F153">
            <v>175</v>
          </cell>
        </row>
        <row r="154">
          <cell r="A154" t="str">
            <v>BF04.038</v>
          </cell>
          <cell r="B154" t="str">
            <v>Desagüe doble para fegadero, PVC</v>
          </cell>
          <cell r="C154" t="str">
            <v>u</v>
          </cell>
          <cell r="D154">
            <v>1</v>
          </cell>
          <cell r="E154">
            <v>32</v>
          </cell>
          <cell r="F154">
            <v>32</v>
          </cell>
        </row>
        <row r="155">
          <cell r="A155" t="str">
            <v>BF04.039</v>
          </cell>
          <cell r="B155" t="str">
            <v>Cola extensión lavamanos 1 1/4" x 8", cromada</v>
          </cell>
          <cell r="C155" t="str">
            <v>u</v>
          </cell>
          <cell r="D155">
            <v>1</v>
          </cell>
          <cell r="E155">
            <v>23</v>
          </cell>
          <cell r="F155">
            <v>23</v>
          </cell>
        </row>
        <row r="156">
          <cell r="A156" t="str">
            <v>BF04.040</v>
          </cell>
          <cell r="B156" t="str">
            <v>Cola extensión lavamanos 1 1/2" x 8", cromada</v>
          </cell>
          <cell r="C156" t="str">
            <v>u</v>
          </cell>
          <cell r="D156">
            <v>1</v>
          </cell>
          <cell r="E156">
            <v>25</v>
          </cell>
          <cell r="F156">
            <v>25</v>
          </cell>
        </row>
        <row r="157">
          <cell r="A157" t="str">
            <v>BF04.041</v>
          </cell>
          <cell r="B157" t="str">
            <v>Cola extensión lavamanos 1 1/2" x 8", PVC</v>
          </cell>
          <cell r="C157" t="str">
            <v>u</v>
          </cell>
          <cell r="D157">
            <v>1</v>
          </cell>
          <cell r="E157">
            <v>10.5</v>
          </cell>
          <cell r="F157">
            <v>10.5</v>
          </cell>
        </row>
        <row r="158">
          <cell r="A158" t="str">
            <v>BF04.042</v>
          </cell>
          <cell r="B158" t="str">
            <v>Cubrefalta de 3/8", cromado</v>
          </cell>
          <cell r="C158" t="str">
            <v>u</v>
          </cell>
          <cell r="D158">
            <v>1</v>
          </cell>
          <cell r="E158">
            <v>1.5</v>
          </cell>
          <cell r="F158">
            <v>1.5</v>
          </cell>
        </row>
        <row r="159">
          <cell r="A159" t="str">
            <v>BF04.043</v>
          </cell>
          <cell r="B159" t="str">
            <v>Cubrefalta de 1/2", cromado</v>
          </cell>
          <cell r="C159" t="str">
            <v>u</v>
          </cell>
          <cell r="D159">
            <v>1</v>
          </cell>
          <cell r="E159">
            <v>2.5</v>
          </cell>
          <cell r="F159">
            <v>2.5</v>
          </cell>
        </row>
        <row r="160">
          <cell r="A160" t="str">
            <v>BF04.044</v>
          </cell>
          <cell r="B160" t="str">
            <v>Cubrefalta de 3/4", cromado</v>
          </cell>
          <cell r="C160" t="str">
            <v>u</v>
          </cell>
          <cell r="D160">
            <v>1</v>
          </cell>
          <cell r="E160">
            <v>1.75</v>
          </cell>
          <cell r="F160">
            <v>1.75</v>
          </cell>
        </row>
        <row r="161">
          <cell r="A161" t="str">
            <v>BF04.045</v>
          </cell>
          <cell r="B161" t="str">
            <v>Cepillera cromada corriente</v>
          </cell>
          <cell r="C161" t="str">
            <v>u</v>
          </cell>
          <cell r="D161">
            <v>1</v>
          </cell>
          <cell r="E161">
            <v>18.75</v>
          </cell>
          <cell r="F161">
            <v>18.75</v>
          </cell>
        </row>
        <row r="162">
          <cell r="A162" t="str">
            <v>BF04.046</v>
          </cell>
          <cell r="B162" t="str">
            <v>Gancho cromado doble, corriente</v>
          </cell>
          <cell r="C162" t="str">
            <v>u</v>
          </cell>
          <cell r="D162">
            <v>1</v>
          </cell>
          <cell r="E162">
            <v>12.8</v>
          </cell>
          <cell r="F162">
            <v>12.8</v>
          </cell>
        </row>
        <row r="163">
          <cell r="A163" t="str">
            <v>BF04.047</v>
          </cell>
          <cell r="B163" t="str">
            <v>Jabonera para bañera, con agarradera, cromada, corriente</v>
          </cell>
          <cell r="C163" t="str">
            <v>u</v>
          </cell>
          <cell r="D163">
            <v>1</v>
          </cell>
          <cell r="E163">
            <v>85</v>
          </cell>
          <cell r="F163">
            <v>85</v>
          </cell>
        </row>
        <row r="164">
          <cell r="A164" t="str">
            <v>BF04.048</v>
          </cell>
          <cell r="B164" t="str">
            <v>Jabonera para bañera, sin agarradera, cromada, corriente</v>
          </cell>
          <cell r="C164" t="str">
            <v>u</v>
          </cell>
          <cell r="D164">
            <v>1</v>
          </cell>
          <cell r="E164">
            <v>80</v>
          </cell>
          <cell r="F164">
            <v>80</v>
          </cell>
        </row>
        <row r="165">
          <cell r="A165" t="str">
            <v>BF04.049</v>
          </cell>
          <cell r="B165" t="str">
            <v>Jabonera líquida, cromada, corriente</v>
          </cell>
          <cell r="C165" t="str">
            <v>u</v>
          </cell>
          <cell r="D165">
            <v>1</v>
          </cell>
          <cell r="E165">
            <v>100</v>
          </cell>
          <cell r="F165">
            <v>100</v>
          </cell>
        </row>
        <row r="166">
          <cell r="A166" t="str">
            <v>BF04.050</v>
          </cell>
          <cell r="B166" t="str">
            <v>Papelera empotrada, cromada, corriente</v>
          </cell>
          <cell r="C166" t="str">
            <v>u</v>
          </cell>
          <cell r="D166">
            <v>1</v>
          </cell>
          <cell r="E166">
            <v>99</v>
          </cell>
          <cell r="F166">
            <v>99</v>
          </cell>
        </row>
        <row r="167">
          <cell r="A167" t="str">
            <v>BF04.051</v>
          </cell>
          <cell r="B167" t="str">
            <v>Toallero 24" cromado corriente</v>
          </cell>
          <cell r="C167" t="str">
            <v>u</v>
          </cell>
          <cell r="D167">
            <v>1</v>
          </cell>
          <cell r="E167">
            <v>51</v>
          </cell>
          <cell r="F167">
            <v>51</v>
          </cell>
        </row>
        <row r="168">
          <cell r="A168" t="str">
            <v>BF04.052</v>
          </cell>
          <cell r="B168" t="str">
            <v>Toallero 30" cromado corriente</v>
          </cell>
          <cell r="C168" t="str">
            <v>u</v>
          </cell>
          <cell r="D168">
            <v>1</v>
          </cell>
          <cell r="E168">
            <v>80</v>
          </cell>
          <cell r="F168">
            <v>80</v>
          </cell>
        </row>
        <row r="169">
          <cell r="A169" t="str">
            <v>BF04.053</v>
          </cell>
          <cell r="B169" t="str">
            <v>Toallero 24" acero inoxidable</v>
          </cell>
          <cell r="C169" t="str">
            <v>u</v>
          </cell>
          <cell r="D169">
            <v>1</v>
          </cell>
          <cell r="E169">
            <v>104</v>
          </cell>
          <cell r="F169">
            <v>104</v>
          </cell>
        </row>
        <row r="170">
          <cell r="A170" t="str">
            <v>BF04.054</v>
          </cell>
          <cell r="B170" t="str">
            <v>Toallero 30" acero inoxidable</v>
          </cell>
          <cell r="C170" t="str">
            <v>u</v>
          </cell>
          <cell r="D170">
            <v>1</v>
          </cell>
          <cell r="E170">
            <v>146</v>
          </cell>
          <cell r="F170">
            <v>146</v>
          </cell>
        </row>
        <row r="171">
          <cell r="A171" t="str">
            <v>BL</v>
          </cell>
          <cell r="B171" t="str">
            <v>BLOQUES</v>
          </cell>
          <cell r="D171" t="str">
            <v/>
          </cell>
          <cell r="F171" t="str">
            <v/>
          </cell>
        </row>
        <row r="172">
          <cell r="A172" t="str">
            <v>BL01.</v>
          </cell>
          <cell r="B172" t="str">
            <v>Bloques de Barro</v>
          </cell>
        </row>
        <row r="173">
          <cell r="A173" t="str">
            <v>BL01.001</v>
          </cell>
          <cell r="B173" t="str">
            <v>Bloques de Barro de 4"</v>
          </cell>
          <cell r="C173" t="str">
            <v>u</v>
          </cell>
          <cell r="D173">
            <v>1.08</v>
          </cell>
          <cell r="E173">
            <v>5.94</v>
          </cell>
          <cell r="F173">
            <v>6.42</v>
          </cell>
        </row>
        <row r="174">
          <cell r="A174" t="str">
            <v>BL01.002</v>
          </cell>
          <cell r="B174" t="str">
            <v>Bloques de Barro de 6"</v>
          </cell>
          <cell r="C174" t="str">
            <v>u</v>
          </cell>
          <cell r="D174">
            <v>1.08</v>
          </cell>
          <cell r="E174">
            <v>7.56</v>
          </cell>
          <cell r="F174">
            <v>8.16</v>
          </cell>
        </row>
        <row r="175">
          <cell r="A175" t="str">
            <v>BL01.003</v>
          </cell>
          <cell r="B175" t="str">
            <v>Bloques de Barro de 8"</v>
          </cell>
          <cell r="C175" t="str">
            <v>u</v>
          </cell>
          <cell r="D175">
            <v>1.08</v>
          </cell>
          <cell r="E175">
            <v>10</v>
          </cell>
          <cell r="F175">
            <v>10.8</v>
          </cell>
        </row>
        <row r="176">
          <cell r="A176" t="str">
            <v>BL01.004</v>
          </cell>
          <cell r="B176" t="str">
            <v>Bloques de Barro de 5" (forjados)</v>
          </cell>
          <cell r="C176" t="str">
            <v>u</v>
          </cell>
          <cell r="D176">
            <v>1.08</v>
          </cell>
          <cell r="E176">
            <v>7</v>
          </cell>
          <cell r="F176">
            <v>7.56</v>
          </cell>
        </row>
        <row r="177">
          <cell r="A177" t="str">
            <v>BL02.</v>
          </cell>
          <cell r="B177" t="str">
            <v>Bloques de Cemento</v>
          </cell>
          <cell r="D177" t="str">
            <v/>
          </cell>
          <cell r="F177" t="str">
            <v/>
          </cell>
        </row>
        <row r="178">
          <cell r="A178" t="str">
            <v>BL02.001</v>
          </cell>
          <cell r="B178" t="str">
            <v>Bloque de hormigón 4"</v>
          </cell>
          <cell r="C178" t="str">
            <v>u</v>
          </cell>
          <cell r="D178">
            <v>1.08</v>
          </cell>
          <cell r="E178">
            <v>4.8600000000000003</v>
          </cell>
          <cell r="F178">
            <v>5.25</v>
          </cell>
        </row>
        <row r="179">
          <cell r="A179" t="str">
            <v>BL02.002</v>
          </cell>
          <cell r="B179" t="str">
            <v>Bloque de hormigón 6"</v>
          </cell>
          <cell r="C179" t="str">
            <v>u</v>
          </cell>
          <cell r="D179">
            <v>1.08</v>
          </cell>
          <cell r="E179">
            <v>6.39</v>
          </cell>
          <cell r="F179">
            <v>6.9</v>
          </cell>
        </row>
        <row r="180">
          <cell r="A180" t="str">
            <v>BL02.003</v>
          </cell>
          <cell r="B180" t="str">
            <v>Bloque de hormigón 8"</v>
          </cell>
          <cell r="C180" t="str">
            <v>u</v>
          </cell>
          <cell r="D180">
            <v>1.08</v>
          </cell>
          <cell r="E180">
            <v>8.3699999999999992</v>
          </cell>
          <cell r="F180">
            <v>9.0399999999999991</v>
          </cell>
        </row>
        <row r="181">
          <cell r="A181" t="str">
            <v>BL02.004</v>
          </cell>
          <cell r="B181" t="str">
            <v>Bloque de hormigón 5" para verjas</v>
          </cell>
          <cell r="C181" t="str">
            <v>u</v>
          </cell>
          <cell r="D181">
            <v>1.08</v>
          </cell>
          <cell r="E181">
            <v>5.9</v>
          </cell>
          <cell r="F181">
            <v>6.37</v>
          </cell>
        </row>
        <row r="182">
          <cell r="A182" t="str">
            <v>BL02.005</v>
          </cell>
          <cell r="B182" t="str">
            <v>Bloque de hormigón 10"</v>
          </cell>
          <cell r="C182" t="str">
            <v>u</v>
          </cell>
          <cell r="D182">
            <v>1.08</v>
          </cell>
          <cell r="E182">
            <v>18.8</v>
          </cell>
          <cell r="F182">
            <v>20.3</v>
          </cell>
        </row>
        <row r="183">
          <cell r="A183" t="str">
            <v>BL02.006</v>
          </cell>
          <cell r="B183" t="str">
            <v>Bloque de hormigón 12"</v>
          </cell>
          <cell r="C183" t="str">
            <v>u</v>
          </cell>
          <cell r="D183">
            <v>1.08</v>
          </cell>
          <cell r="E183">
            <v>18.399999999999999</v>
          </cell>
          <cell r="F183">
            <v>19.87</v>
          </cell>
        </row>
        <row r="184">
          <cell r="A184" t="str">
            <v>BL02.007</v>
          </cell>
          <cell r="B184" t="str">
            <v>Bloque Rusticanales de 4", gris</v>
          </cell>
          <cell r="C184" t="str">
            <v>u</v>
          </cell>
          <cell r="D184">
            <v>1.08</v>
          </cell>
          <cell r="E184">
            <v>20.25</v>
          </cell>
          <cell r="F184">
            <v>21.87</v>
          </cell>
        </row>
        <row r="185">
          <cell r="A185" t="str">
            <v>BL02.008</v>
          </cell>
          <cell r="B185" t="str">
            <v>Bloque Rusticanales de 8", gris</v>
          </cell>
          <cell r="C185" t="str">
            <v>u</v>
          </cell>
          <cell r="D185">
            <v>1.08</v>
          </cell>
          <cell r="E185">
            <v>26.95</v>
          </cell>
          <cell r="F185">
            <v>29.11</v>
          </cell>
        </row>
        <row r="186">
          <cell r="A186" t="str">
            <v>BL02.009</v>
          </cell>
          <cell r="B186" t="str">
            <v>Bloque de 6"x8"x8", liso ( 1/2 bloque de 6")</v>
          </cell>
          <cell r="C186" t="str">
            <v>u</v>
          </cell>
          <cell r="D186">
            <v>1.08</v>
          </cell>
          <cell r="E186">
            <v>4.0999999999999996</v>
          </cell>
          <cell r="F186">
            <v>4.43</v>
          </cell>
        </row>
        <row r="187">
          <cell r="A187" t="str">
            <v>BL02.010</v>
          </cell>
          <cell r="B187" t="str">
            <v>Bloque de 8"x8"x8" , liso ( 1/2 bloque de 8")</v>
          </cell>
          <cell r="C187" t="str">
            <v>u</v>
          </cell>
          <cell r="D187">
            <v>1.08</v>
          </cell>
          <cell r="E187">
            <v>5.4</v>
          </cell>
          <cell r="F187">
            <v>5.83</v>
          </cell>
        </row>
        <row r="188">
          <cell r="A188" t="str">
            <v>BL02.011</v>
          </cell>
          <cell r="B188" t="str">
            <v>Bloque ornamental 8"x8"x16", gris (TICARUST)</v>
          </cell>
          <cell r="C188" t="str">
            <v>u</v>
          </cell>
          <cell r="D188">
            <v>1.08</v>
          </cell>
          <cell r="E188">
            <v>17.149999999999999</v>
          </cell>
          <cell r="F188">
            <v>18.52</v>
          </cell>
        </row>
        <row r="189">
          <cell r="A189" t="str">
            <v>BL02.012</v>
          </cell>
          <cell r="B189" t="str">
            <v>Bloque calado 6", tipo persiana</v>
          </cell>
          <cell r="C189" t="str">
            <v>u</v>
          </cell>
          <cell r="D189">
            <v>1.08</v>
          </cell>
          <cell r="E189">
            <v>8</v>
          </cell>
          <cell r="F189">
            <v>8.64</v>
          </cell>
        </row>
        <row r="190">
          <cell r="A190" t="str">
            <v>BL02.013</v>
          </cell>
          <cell r="B190" t="str">
            <v>Acarreo bloque de hormigón 4"</v>
          </cell>
          <cell r="C190" t="str">
            <v>u</v>
          </cell>
          <cell r="D190">
            <v>1.08</v>
          </cell>
          <cell r="E190">
            <v>0.52</v>
          </cell>
          <cell r="F190">
            <v>0.56000000000000005</v>
          </cell>
        </row>
        <row r="191">
          <cell r="A191" t="str">
            <v>BL02.014</v>
          </cell>
          <cell r="B191" t="str">
            <v>Acarreo bloque de hormigón 5", para verjas</v>
          </cell>
          <cell r="C191" t="str">
            <v>u</v>
          </cell>
          <cell r="D191">
            <v>1.08</v>
          </cell>
          <cell r="E191">
            <v>0.55000000000000004</v>
          </cell>
          <cell r="F191">
            <v>0.59</v>
          </cell>
        </row>
        <row r="192">
          <cell r="A192" t="str">
            <v>BL02.015</v>
          </cell>
          <cell r="B192" t="str">
            <v>Acarreo bloque de hormigón 6"</v>
          </cell>
          <cell r="C192" t="str">
            <v>u</v>
          </cell>
          <cell r="D192">
            <v>1.08</v>
          </cell>
          <cell r="E192">
            <v>0.56000000000000005</v>
          </cell>
          <cell r="F192">
            <v>0.6</v>
          </cell>
        </row>
        <row r="193">
          <cell r="A193" t="str">
            <v>BL02.016</v>
          </cell>
          <cell r="B193" t="str">
            <v>Acarreo bloque de hormigón 8"</v>
          </cell>
          <cell r="C193" t="str">
            <v>u</v>
          </cell>
          <cell r="D193">
            <v>1.08</v>
          </cell>
          <cell r="E193">
            <v>0.63</v>
          </cell>
          <cell r="F193">
            <v>0.68</v>
          </cell>
        </row>
        <row r="194">
          <cell r="A194" t="str">
            <v>BL02.017</v>
          </cell>
          <cell r="B194" t="str">
            <v>Acarreo bloque de hormigón 10"</v>
          </cell>
          <cell r="C194" t="str">
            <v>u</v>
          </cell>
          <cell r="D194">
            <v>1.08</v>
          </cell>
          <cell r="E194">
            <v>1</v>
          </cell>
          <cell r="F194">
            <v>1.08</v>
          </cell>
        </row>
        <row r="195">
          <cell r="A195" t="str">
            <v>BL02.018</v>
          </cell>
          <cell r="B195" t="str">
            <v>Acarreo bloque de hormigón 12"</v>
          </cell>
          <cell r="C195" t="str">
            <v>u</v>
          </cell>
          <cell r="D195">
            <v>1.08</v>
          </cell>
          <cell r="E195">
            <v>1.19</v>
          </cell>
          <cell r="F195">
            <v>1.29</v>
          </cell>
        </row>
        <row r="196">
          <cell r="A196" t="str">
            <v>BL02.019</v>
          </cell>
          <cell r="B196" t="str">
            <v>Acarreo Bloque Rusticanales de 4", gris</v>
          </cell>
          <cell r="C196" t="str">
            <v>u</v>
          </cell>
          <cell r="D196">
            <v>1.08</v>
          </cell>
          <cell r="E196">
            <v>0.56999999999999995</v>
          </cell>
          <cell r="F196">
            <v>0.62</v>
          </cell>
        </row>
        <row r="197">
          <cell r="A197" t="str">
            <v>BL02.020</v>
          </cell>
          <cell r="B197" t="str">
            <v>Acarreo Bloque Rusticanales de 8", gris</v>
          </cell>
          <cell r="C197" t="str">
            <v>u</v>
          </cell>
          <cell r="D197">
            <v>1.08</v>
          </cell>
          <cell r="E197">
            <v>0.78</v>
          </cell>
          <cell r="F197">
            <v>0.84</v>
          </cell>
        </row>
        <row r="198">
          <cell r="A198" t="str">
            <v>BL02.021</v>
          </cell>
          <cell r="B198" t="str">
            <v>Acarreo Bloque de 6"x8"x8", liso ( 1/2 Acarreo Bloque de 6")</v>
          </cell>
          <cell r="C198" t="str">
            <v>u</v>
          </cell>
          <cell r="D198">
            <v>1.08</v>
          </cell>
          <cell r="E198">
            <v>0.3</v>
          </cell>
          <cell r="F198">
            <v>0.32</v>
          </cell>
        </row>
        <row r="199">
          <cell r="A199" t="str">
            <v>BL02.022</v>
          </cell>
          <cell r="B199" t="str">
            <v>Acarreo Bloque de 8"x8"x8" , liso ( 1/2 Acarreo Bloque de 8")</v>
          </cell>
          <cell r="C199" t="str">
            <v>u</v>
          </cell>
          <cell r="D199">
            <v>1.08</v>
          </cell>
          <cell r="E199">
            <v>0.34</v>
          </cell>
          <cell r="F199">
            <v>0.37</v>
          </cell>
        </row>
        <row r="200">
          <cell r="A200" t="str">
            <v>BL02.023</v>
          </cell>
          <cell r="B200" t="str">
            <v>Acarreo Bloque ornamental 8"x8"x16", gris (TICARUST)</v>
          </cell>
          <cell r="C200" t="str">
            <v>u</v>
          </cell>
          <cell r="D200">
            <v>1.08</v>
          </cell>
          <cell r="E200">
            <v>0.53</v>
          </cell>
          <cell r="F200">
            <v>0.56999999999999995</v>
          </cell>
        </row>
        <row r="201">
          <cell r="A201" t="str">
            <v>BL02.024</v>
          </cell>
          <cell r="B201" t="str">
            <v>Acarreo Bloque calado 6", tipo persiana</v>
          </cell>
          <cell r="C201" t="str">
            <v>u</v>
          </cell>
          <cell r="D201">
            <v>1.08</v>
          </cell>
          <cell r="E201">
            <v>0.53</v>
          </cell>
          <cell r="F201">
            <v>0.56999999999999995</v>
          </cell>
        </row>
        <row r="202">
          <cell r="A202" t="str">
            <v>BL99.001</v>
          </cell>
          <cell r="B202" t="str">
            <v>Bloques de Cristal</v>
          </cell>
          <cell r="C202" t="str">
            <v>u</v>
          </cell>
          <cell r="D202">
            <v>1.08</v>
          </cell>
          <cell r="E202">
            <v>80</v>
          </cell>
          <cell r="F202">
            <v>86.4</v>
          </cell>
        </row>
        <row r="203">
          <cell r="A203" t="str">
            <v>BL99.011</v>
          </cell>
          <cell r="B203" t="str">
            <v>Acarreo de Bloques de Cristal</v>
          </cell>
          <cell r="C203" t="str">
            <v>u</v>
          </cell>
          <cell r="D203">
            <v>1.08</v>
          </cell>
          <cell r="E203">
            <v>4</v>
          </cell>
          <cell r="F203">
            <v>4.32</v>
          </cell>
        </row>
        <row r="204">
          <cell r="A204" t="str">
            <v>BO</v>
          </cell>
          <cell r="B204" t="str">
            <v>BOMBA DE AGUA PARA CISTERNAS</v>
          </cell>
          <cell r="D204" t="str">
            <v/>
          </cell>
          <cell r="F204" t="str">
            <v/>
          </cell>
        </row>
        <row r="205">
          <cell r="A205" t="str">
            <v>BO01.002</v>
          </cell>
          <cell r="B205" t="str">
            <v>Bomba de 3/4 H.P., sin tanque</v>
          </cell>
          <cell r="C205" t="str">
            <v>u</v>
          </cell>
          <cell r="D205">
            <v>1</v>
          </cell>
          <cell r="E205">
            <v>2500</v>
          </cell>
          <cell r="F205">
            <v>2500</v>
          </cell>
        </row>
        <row r="206">
          <cell r="A206" t="str">
            <v>BO01.008</v>
          </cell>
          <cell r="B206" t="str">
            <v>Tanque hidroneumático de 42 gls, criollo</v>
          </cell>
          <cell r="C206" t="str">
            <v>u</v>
          </cell>
          <cell r="D206">
            <v>1</v>
          </cell>
          <cell r="E206">
            <v>1000</v>
          </cell>
          <cell r="F206">
            <v>1000</v>
          </cell>
        </row>
        <row r="207">
          <cell r="A207" t="str">
            <v>CC</v>
          </cell>
          <cell r="B207" t="str">
            <v>CEMENTOS Y CALES</v>
          </cell>
          <cell r="D207" t="str">
            <v/>
          </cell>
          <cell r="F207" t="str">
            <v/>
          </cell>
        </row>
        <row r="208">
          <cell r="A208" t="str">
            <v>CC01.001</v>
          </cell>
          <cell r="B208" t="str">
            <v>Cal Pomier (50 lbs)</v>
          </cell>
          <cell r="C208" t="str">
            <v>fda</v>
          </cell>
          <cell r="D208">
            <v>1</v>
          </cell>
          <cell r="E208">
            <v>59</v>
          </cell>
          <cell r="F208">
            <v>59</v>
          </cell>
        </row>
        <row r="209">
          <cell r="A209" t="str">
            <v>CC01.002</v>
          </cell>
          <cell r="B209" t="str">
            <v>Cemento Blanco (90 lbs)</v>
          </cell>
          <cell r="C209" t="str">
            <v>fda</v>
          </cell>
          <cell r="D209">
            <v>1</v>
          </cell>
          <cell r="E209">
            <v>180</v>
          </cell>
          <cell r="F209">
            <v>180</v>
          </cell>
        </row>
        <row r="210">
          <cell r="A210" t="str">
            <v>CC01.003</v>
          </cell>
          <cell r="B210" t="str">
            <v>Cemento Gris ("Portland")</v>
          </cell>
          <cell r="C210" t="str">
            <v>fda</v>
          </cell>
          <cell r="D210">
            <v>1</v>
          </cell>
          <cell r="E210">
            <v>69</v>
          </cell>
          <cell r="F210">
            <v>69</v>
          </cell>
        </row>
        <row r="211">
          <cell r="A211" t="str">
            <v>CC02.001</v>
          </cell>
          <cell r="B211" t="str">
            <v>Cemento para Grouting Expansivo</v>
          </cell>
          <cell r="C211" t="str">
            <v>fda</v>
          </cell>
          <cell r="D211">
            <v>1</v>
          </cell>
          <cell r="E211">
            <v>500</v>
          </cell>
          <cell r="F211">
            <v>500</v>
          </cell>
        </row>
        <row r="212">
          <cell r="A212" t="str">
            <v>CC02.002</v>
          </cell>
          <cell r="B212" t="str">
            <v>Cemento para Grouting Portland</v>
          </cell>
          <cell r="C212" t="str">
            <v>fda</v>
          </cell>
          <cell r="D212">
            <v>1</v>
          </cell>
          <cell r="E212">
            <v>67</v>
          </cell>
          <cell r="F212">
            <v>67</v>
          </cell>
        </row>
        <row r="213">
          <cell r="A213" t="str">
            <v>CC02.003</v>
          </cell>
          <cell r="B213" t="str">
            <v>Supracure</v>
          </cell>
          <cell r="C213" t="str">
            <v>gl</v>
          </cell>
          <cell r="D213">
            <v>1</v>
          </cell>
          <cell r="E213">
            <v>97.2</v>
          </cell>
          <cell r="F213">
            <v>97.2</v>
          </cell>
        </row>
        <row r="214">
          <cell r="A214" t="str">
            <v>CC02.004</v>
          </cell>
          <cell r="B214" t="str">
            <v>Superplastificante</v>
          </cell>
          <cell r="C214" t="str">
            <v>gl</v>
          </cell>
          <cell r="D214">
            <v>1</v>
          </cell>
          <cell r="E214">
            <v>91.8</v>
          </cell>
          <cell r="F214">
            <v>91.8</v>
          </cell>
        </row>
        <row r="218">
          <cell r="A218" t="str">
            <v>CE</v>
          </cell>
          <cell r="B218" t="str">
            <v>CERAMICAS</v>
          </cell>
          <cell r="D218" t="str">
            <v/>
          </cell>
          <cell r="F218" t="str">
            <v/>
          </cell>
        </row>
        <row r="219">
          <cell r="A219" t="str">
            <v>CE01.001</v>
          </cell>
          <cell r="B219" t="str">
            <v>Cerámica Criolla 15x15, monocolor</v>
          </cell>
          <cell r="C219" t="str">
            <v>m2</v>
          </cell>
          <cell r="D219">
            <v>1</v>
          </cell>
          <cell r="E219">
            <v>175</v>
          </cell>
          <cell r="F219">
            <v>175</v>
          </cell>
        </row>
        <row r="220">
          <cell r="A220" t="str">
            <v>CE01.002</v>
          </cell>
          <cell r="B220" t="str">
            <v>Cerámica Criolla 15x15, blanca</v>
          </cell>
          <cell r="C220" t="str">
            <v>m2</v>
          </cell>
          <cell r="D220">
            <v>1</v>
          </cell>
          <cell r="E220">
            <v>175</v>
          </cell>
          <cell r="F220">
            <v>175</v>
          </cell>
        </row>
        <row r="221">
          <cell r="A221" t="str">
            <v>CE01.010</v>
          </cell>
          <cell r="B221" t="str">
            <v>Cerámica Importada (Carabela). Costo Medio</v>
          </cell>
          <cell r="C221" t="str">
            <v>m2</v>
          </cell>
          <cell r="D221">
            <v>1</v>
          </cell>
          <cell r="E221">
            <v>250</v>
          </cell>
          <cell r="F221">
            <v>250</v>
          </cell>
        </row>
        <row r="222">
          <cell r="A222" t="str">
            <v>CE01.011</v>
          </cell>
          <cell r="B222" t="str">
            <v>Corte de Chazos</v>
          </cell>
          <cell r="C222" t="str">
            <v>u</v>
          </cell>
          <cell r="D222">
            <v>1</v>
          </cell>
          <cell r="E222">
            <v>2.6</v>
          </cell>
          <cell r="F222">
            <v>2.6</v>
          </cell>
        </row>
        <row r="223">
          <cell r="A223" t="str">
            <v>CE01.012</v>
          </cell>
          <cell r="B223" t="str">
            <v>Estopa</v>
          </cell>
          <cell r="C223" t="str">
            <v>lb</v>
          </cell>
          <cell r="D223">
            <v>1</v>
          </cell>
          <cell r="E223">
            <v>12</v>
          </cell>
          <cell r="F223">
            <v>12</v>
          </cell>
        </row>
        <row r="224">
          <cell r="A224" t="str">
            <v>CE01.021</v>
          </cell>
          <cell r="B224" t="str">
            <v>Zócalos 8x30 Cerámica Importada (Carabela), Costo medio</v>
          </cell>
          <cell r="C224" t="str">
            <v>u</v>
          </cell>
          <cell r="D224">
            <v>1</v>
          </cell>
          <cell r="E224">
            <v>12</v>
          </cell>
          <cell r="F224">
            <v>12</v>
          </cell>
        </row>
        <row r="225">
          <cell r="A225" t="str">
            <v>CJ</v>
          </cell>
          <cell r="B225" t="str">
            <v>CERRAJERIA</v>
          </cell>
          <cell r="D225" t="str">
            <v/>
          </cell>
          <cell r="F225" t="str">
            <v/>
          </cell>
        </row>
        <row r="226">
          <cell r="A226" t="str">
            <v>CJ01.001</v>
          </cell>
          <cell r="B226" t="str">
            <v>Llavín corriente, doble puño con llave y seguro</v>
          </cell>
          <cell r="C226" t="str">
            <v>u</v>
          </cell>
          <cell r="D226">
            <v>1</v>
          </cell>
          <cell r="E226">
            <v>125</v>
          </cell>
          <cell r="F226">
            <v>125</v>
          </cell>
        </row>
        <row r="227">
          <cell r="A227" t="str">
            <v>CJ01.002</v>
          </cell>
          <cell r="B227" t="str">
            <v>Llavín de Calidad, doble puño con llave y seguro</v>
          </cell>
          <cell r="C227" t="str">
            <v>u</v>
          </cell>
          <cell r="D227">
            <v>1</v>
          </cell>
          <cell r="E227">
            <v>425</v>
          </cell>
          <cell r="F227">
            <v>425</v>
          </cell>
        </row>
        <row r="228">
          <cell r="A228" t="str">
            <v>CJ01.003</v>
          </cell>
          <cell r="B228" t="str">
            <v>Bisagras STANLEY 3 1/2" x 3 1/2" doradas</v>
          </cell>
          <cell r="C228" t="str">
            <v>par</v>
          </cell>
          <cell r="D228">
            <v>1</v>
          </cell>
          <cell r="E228">
            <v>44</v>
          </cell>
          <cell r="F228">
            <v>44</v>
          </cell>
        </row>
        <row r="229">
          <cell r="A229" t="str">
            <v>CJ01.004</v>
          </cell>
          <cell r="B229" t="str">
            <v>Bisagras VAIVEN de piso, americana</v>
          </cell>
          <cell r="C229" t="str">
            <v>ud</v>
          </cell>
          <cell r="D229">
            <v>1</v>
          </cell>
          <cell r="E229">
            <v>480</v>
          </cell>
          <cell r="F229">
            <v>480</v>
          </cell>
        </row>
        <row r="230">
          <cell r="A230" t="str">
            <v>CJ01.007</v>
          </cell>
          <cell r="B230" t="str">
            <v>Tornillos de 3" x 14</v>
          </cell>
          <cell r="C230" t="str">
            <v>u</v>
          </cell>
          <cell r="D230">
            <v>1</v>
          </cell>
          <cell r="E230">
            <v>1.95</v>
          </cell>
          <cell r="F230">
            <v>1.95</v>
          </cell>
        </row>
        <row r="231">
          <cell r="A231" t="str">
            <v>CJ01.008</v>
          </cell>
          <cell r="B231" t="str">
            <v>Tarugos plásticos de 3/8" x 2"</v>
          </cell>
          <cell r="C231" t="str">
            <v>u</v>
          </cell>
          <cell r="D231">
            <v>1</v>
          </cell>
          <cell r="E231">
            <v>0.6</v>
          </cell>
          <cell r="F231">
            <v>0.6</v>
          </cell>
        </row>
        <row r="232">
          <cell r="A232" t="str">
            <v>EB</v>
          </cell>
          <cell r="B232" t="str">
            <v>EBANISTERIA</v>
          </cell>
          <cell r="D232" t="str">
            <v/>
          </cell>
          <cell r="F232" t="str">
            <v/>
          </cell>
        </row>
        <row r="233">
          <cell r="A233" t="str">
            <v>EB01.001</v>
          </cell>
          <cell r="B233" t="str">
            <v>Marco de pino en 2" x 4"</v>
          </cell>
          <cell r="C233" t="str">
            <v>p</v>
          </cell>
          <cell r="D233">
            <v>1</v>
          </cell>
          <cell r="E233">
            <v>17.5</v>
          </cell>
          <cell r="F233">
            <v>17.5</v>
          </cell>
        </row>
        <row r="234">
          <cell r="A234" t="str">
            <v>EB01.002</v>
          </cell>
          <cell r="B234" t="str">
            <v>Marco de caoba en 2" x 4"</v>
          </cell>
          <cell r="C234" t="str">
            <v>p</v>
          </cell>
          <cell r="D234">
            <v>1</v>
          </cell>
          <cell r="E234">
            <v>62.5</v>
          </cell>
          <cell r="F234">
            <v>62.5</v>
          </cell>
        </row>
        <row r="235">
          <cell r="A235" t="str">
            <v>EB01.003</v>
          </cell>
          <cell r="B235" t="str">
            <v>Puerta en Plywood 3/16"</v>
          </cell>
          <cell r="C235" t="str">
            <v>p2</v>
          </cell>
          <cell r="D235">
            <v>1</v>
          </cell>
          <cell r="E235">
            <v>35</v>
          </cell>
          <cell r="F235">
            <v>35</v>
          </cell>
        </row>
        <row r="236">
          <cell r="A236" t="str">
            <v>EB01.004</v>
          </cell>
          <cell r="B236" t="str">
            <v>Puerta panelada en Pino</v>
          </cell>
          <cell r="C236" t="str">
            <v>p2</v>
          </cell>
          <cell r="D236">
            <v>1</v>
          </cell>
          <cell r="E236">
            <v>68</v>
          </cell>
          <cell r="F236">
            <v>68</v>
          </cell>
        </row>
        <row r="237">
          <cell r="A237" t="str">
            <v>EB01.005</v>
          </cell>
          <cell r="B237" t="str">
            <v>Puerta panelada en Caoba</v>
          </cell>
          <cell r="C237" t="str">
            <v>p2</v>
          </cell>
          <cell r="D237">
            <v>1</v>
          </cell>
          <cell r="E237">
            <v>180</v>
          </cell>
          <cell r="F237">
            <v>180</v>
          </cell>
        </row>
        <row r="238">
          <cell r="A238" t="str">
            <v>EB01.006</v>
          </cell>
          <cell r="B238" t="str">
            <v>Puerta panelada especial en Caoba (Para Puerta Principal)</v>
          </cell>
          <cell r="C238" t="str">
            <v>p3</v>
          </cell>
          <cell r="D238">
            <v>1</v>
          </cell>
          <cell r="E238">
            <v>250</v>
          </cell>
          <cell r="F238">
            <v>250</v>
          </cell>
        </row>
        <row r="239">
          <cell r="A239" t="str">
            <v>EB01.007</v>
          </cell>
          <cell r="B239" t="str">
            <v>Gabinete de piso en Pino</v>
          </cell>
          <cell r="C239" t="str">
            <v>p</v>
          </cell>
          <cell r="D239">
            <v>1</v>
          </cell>
          <cell r="E239">
            <v>650</v>
          </cell>
          <cell r="F239">
            <v>650</v>
          </cell>
        </row>
        <row r="240">
          <cell r="A240" t="str">
            <v>EB01.008</v>
          </cell>
          <cell r="B240" t="str">
            <v>Gabinete de pared en Pino</v>
          </cell>
          <cell r="C240" t="str">
            <v>p</v>
          </cell>
          <cell r="D240">
            <v>1</v>
          </cell>
          <cell r="E240">
            <v>550</v>
          </cell>
          <cell r="F240">
            <v>550</v>
          </cell>
        </row>
        <row r="241">
          <cell r="A241" t="str">
            <v>EB01.016</v>
          </cell>
          <cell r="B241" t="str">
            <v>Montura puertas (incluye marco y llavín)</v>
          </cell>
          <cell r="C241" t="str">
            <v>u</v>
          </cell>
          <cell r="D241">
            <v>1</v>
          </cell>
          <cell r="E241">
            <v>250</v>
          </cell>
          <cell r="F241">
            <v>250</v>
          </cell>
        </row>
        <row r="242">
          <cell r="A242" t="str">
            <v>EB01.017</v>
          </cell>
          <cell r="B242" t="str">
            <v>Aplicación laca todo costo (por puerta)</v>
          </cell>
          <cell r="C242" t="str">
            <v>u</v>
          </cell>
          <cell r="D242">
            <v>1</v>
          </cell>
          <cell r="E242">
            <v>500</v>
          </cell>
          <cell r="F242">
            <v>500</v>
          </cell>
        </row>
        <row r="243">
          <cell r="A243" t="str">
            <v>EB02.001</v>
          </cell>
          <cell r="B243" t="str">
            <v>Tope de Marmolite "Alpha"</v>
          </cell>
          <cell r="C243" t="str">
            <v>p2</v>
          </cell>
          <cell r="D243">
            <v>1</v>
          </cell>
          <cell r="E243">
            <v>85</v>
          </cell>
          <cell r="F243">
            <v>85</v>
          </cell>
        </row>
        <row r="244">
          <cell r="A244" t="str">
            <v>EB02.002</v>
          </cell>
          <cell r="B244" t="str">
            <v>Tope de Marmolite Natural.  Incluye Instalación.</v>
          </cell>
          <cell r="C244" t="str">
            <v>p2</v>
          </cell>
          <cell r="D244">
            <v>1</v>
          </cell>
          <cell r="E244">
            <v>85</v>
          </cell>
          <cell r="F244">
            <v>85</v>
          </cell>
        </row>
        <row r="245">
          <cell r="A245" t="str">
            <v>EB02.003</v>
          </cell>
          <cell r="B245" t="str">
            <v>Tope de Marmolite Color.  Incluye Instalación.</v>
          </cell>
          <cell r="C245" t="str">
            <v>p2</v>
          </cell>
          <cell r="D245">
            <v>1</v>
          </cell>
          <cell r="E245">
            <v>120</v>
          </cell>
          <cell r="F245">
            <v>120</v>
          </cell>
        </row>
        <row r="246">
          <cell r="A246" t="str">
            <v>EB02.004</v>
          </cell>
          <cell r="B246" t="str">
            <v>Tope de Marmolite - Granitop.  Incluye Instalación.</v>
          </cell>
          <cell r="C246" t="str">
            <v>p2</v>
          </cell>
          <cell r="D246">
            <v>1.08</v>
          </cell>
          <cell r="E246">
            <v>150</v>
          </cell>
          <cell r="F246">
            <v>162</v>
          </cell>
        </row>
        <row r="247">
          <cell r="A247" t="str">
            <v>EL</v>
          </cell>
          <cell r="B247" t="str">
            <v>ELECTRICIDAD</v>
          </cell>
          <cell r="D247" t="str">
            <v/>
          </cell>
          <cell r="F247" t="str">
            <v/>
          </cell>
        </row>
        <row r="248">
          <cell r="A248" t="str">
            <v>EL01.001</v>
          </cell>
          <cell r="B248" t="str">
            <v>Caja rectangular 2x4 de 1/2", americana</v>
          </cell>
          <cell r="C248" t="str">
            <v>u</v>
          </cell>
          <cell r="D248">
            <v>1</v>
          </cell>
          <cell r="E248">
            <v>7.95</v>
          </cell>
          <cell r="F248">
            <v>7.95</v>
          </cell>
        </row>
        <row r="249">
          <cell r="A249" t="str">
            <v>EL01.002</v>
          </cell>
          <cell r="B249" t="str">
            <v>Caja rectangular 2x4 de 3/4", americana</v>
          </cell>
          <cell r="C249" t="str">
            <v>u</v>
          </cell>
          <cell r="D249">
            <v>1</v>
          </cell>
          <cell r="E249">
            <v>8</v>
          </cell>
          <cell r="F249">
            <v>8</v>
          </cell>
        </row>
        <row r="250">
          <cell r="A250" t="str">
            <v>EL01.003</v>
          </cell>
          <cell r="B250" t="str">
            <v>Caja octagonal de 1/2", americana</v>
          </cell>
          <cell r="C250" t="str">
            <v>u</v>
          </cell>
          <cell r="D250">
            <v>1</v>
          </cell>
          <cell r="E250">
            <v>8.9499999999999993</v>
          </cell>
          <cell r="F250">
            <v>8.9499999999999993</v>
          </cell>
        </row>
        <row r="251">
          <cell r="A251" t="str">
            <v>EL01.004</v>
          </cell>
          <cell r="B251" t="str">
            <v>Caja octagonal de 3/4", americana</v>
          </cell>
          <cell r="C251" t="str">
            <v>u</v>
          </cell>
          <cell r="D251">
            <v>1</v>
          </cell>
          <cell r="E251">
            <v>8.9499999999999993</v>
          </cell>
          <cell r="F251">
            <v>8.9499999999999993</v>
          </cell>
        </row>
        <row r="252">
          <cell r="A252" t="str">
            <v>EL01.005</v>
          </cell>
          <cell r="B252" t="str">
            <v>Roseta porcelana americana</v>
          </cell>
          <cell r="C252" t="str">
            <v>u</v>
          </cell>
          <cell r="D252">
            <v>1</v>
          </cell>
          <cell r="E252">
            <v>18</v>
          </cell>
          <cell r="F252">
            <v>18</v>
          </cell>
        </row>
        <row r="253">
          <cell r="A253" t="str">
            <v>EL01.006</v>
          </cell>
          <cell r="B253" t="str">
            <v>Tubo 1/2" x 10', PVC</v>
          </cell>
          <cell r="C253" t="str">
            <v>u</v>
          </cell>
          <cell r="D253">
            <v>1</v>
          </cell>
          <cell r="E253">
            <v>6.95</v>
          </cell>
          <cell r="F253">
            <v>6.95</v>
          </cell>
        </row>
        <row r="254">
          <cell r="A254" t="str">
            <v>EL01.007</v>
          </cell>
          <cell r="B254" t="str">
            <v>Tubo 3/4" x 10', PVC</v>
          </cell>
          <cell r="C254" t="str">
            <v>u</v>
          </cell>
          <cell r="D254">
            <v>1</v>
          </cell>
          <cell r="E254">
            <v>10.95</v>
          </cell>
          <cell r="F254">
            <v>10.95</v>
          </cell>
        </row>
        <row r="255">
          <cell r="A255" t="str">
            <v>EL01.008</v>
          </cell>
          <cell r="B255" t="str">
            <v>Tubo 1" x 10', PVC</v>
          </cell>
          <cell r="C255" t="str">
            <v>u</v>
          </cell>
          <cell r="D255">
            <v>1</v>
          </cell>
          <cell r="E255">
            <v>17</v>
          </cell>
          <cell r="F255">
            <v>17</v>
          </cell>
        </row>
        <row r="256">
          <cell r="A256" t="str">
            <v>EL01.009</v>
          </cell>
          <cell r="B256" t="str">
            <v>Tubo 1 1/2" x 10', PVC</v>
          </cell>
          <cell r="C256" t="str">
            <v>u</v>
          </cell>
          <cell r="D256">
            <v>1</v>
          </cell>
          <cell r="E256">
            <v>20</v>
          </cell>
          <cell r="F256">
            <v>20</v>
          </cell>
        </row>
        <row r="257">
          <cell r="A257" t="str">
            <v>EL01.010</v>
          </cell>
          <cell r="B257" t="str">
            <v>Tubo 2" x 10', PVC</v>
          </cell>
          <cell r="C257" t="str">
            <v>u</v>
          </cell>
          <cell r="D257">
            <v>1</v>
          </cell>
          <cell r="E257">
            <v>23</v>
          </cell>
          <cell r="F257">
            <v>23</v>
          </cell>
        </row>
        <row r="258">
          <cell r="A258" t="str">
            <v>EL01.011</v>
          </cell>
          <cell r="B258" t="str">
            <v>Codo PVC Eléctrico de 1/2"</v>
          </cell>
          <cell r="C258" t="str">
            <v>u</v>
          </cell>
          <cell r="D258">
            <v>1</v>
          </cell>
          <cell r="E258">
            <v>6.95</v>
          </cell>
          <cell r="F258">
            <v>6.95</v>
          </cell>
        </row>
        <row r="259">
          <cell r="A259" t="str">
            <v>EL01.012</v>
          </cell>
          <cell r="B259" t="str">
            <v>Codo PVC Eléctrico de 3/4"</v>
          </cell>
          <cell r="C259" t="str">
            <v>u</v>
          </cell>
          <cell r="D259">
            <v>1</v>
          </cell>
          <cell r="E259">
            <v>10.95</v>
          </cell>
          <cell r="F259">
            <v>10.95</v>
          </cell>
        </row>
        <row r="260">
          <cell r="A260" t="str">
            <v>EL01.013</v>
          </cell>
          <cell r="B260" t="str">
            <v>Alambre Duplo # 18, St.</v>
          </cell>
          <cell r="C260" t="str">
            <v>p</v>
          </cell>
          <cell r="D260">
            <v>1</v>
          </cell>
          <cell r="E260">
            <v>0.86</v>
          </cell>
          <cell r="F260">
            <v>0.86</v>
          </cell>
        </row>
        <row r="261">
          <cell r="A261" t="str">
            <v>EL01.014</v>
          </cell>
          <cell r="B261" t="str">
            <v>Alambre THW # 14, St.</v>
          </cell>
          <cell r="C261" t="str">
            <v>p</v>
          </cell>
          <cell r="D261">
            <v>1</v>
          </cell>
          <cell r="E261">
            <v>0.69</v>
          </cell>
          <cell r="F261">
            <v>0.69</v>
          </cell>
        </row>
        <row r="262">
          <cell r="A262" t="str">
            <v>EL01.015</v>
          </cell>
          <cell r="B262" t="str">
            <v>Alambre THW # 12, St.</v>
          </cell>
          <cell r="C262" t="str">
            <v>p</v>
          </cell>
          <cell r="D262">
            <v>1</v>
          </cell>
          <cell r="E262">
            <v>0.93</v>
          </cell>
          <cell r="F262">
            <v>0.93</v>
          </cell>
        </row>
        <row r="263">
          <cell r="A263" t="str">
            <v>EL01.016</v>
          </cell>
          <cell r="B263" t="str">
            <v>Alambre THW # 10, St.</v>
          </cell>
          <cell r="C263" t="str">
            <v>p</v>
          </cell>
          <cell r="D263">
            <v>1</v>
          </cell>
          <cell r="E263">
            <v>1.5</v>
          </cell>
          <cell r="F263">
            <v>1.5</v>
          </cell>
        </row>
        <row r="264">
          <cell r="A264" t="str">
            <v>EL01.017</v>
          </cell>
          <cell r="B264" t="str">
            <v>Alambre THW # 8, St.</v>
          </cell>
          <cell r="C264" t="str">
            <v>p</v>
          </cell>
          <cell r="D264">
            <v>1</v>
          </cell>
          <cell r="E264">
            <v>2.77</v>
          </cell>
          <cell r="F264">
            <v>2.77</v>
          </cell>
        </row>
        <row r="265">
          <cell r="A265" t="str">
            <v>EL01.018</v>
          </cell>
          <cell r="B265" t="str">
            <v>Alambre THW # 6, St.</v>
          </cell>
          <cell r="C265" t="str">
            <v>p</v>
          </cell>
          <cell r="D265">
            <v>1</v>
          </cell>
          <cell r="E265">
            <v>3.99</v>
          </cell>
          <cell r="F265">
            <v>3.99</v>
          </cell>
        </row>
        <row r="266">
          <cell r="A266" t="str">
            <v>EL01.019</v>
          </cell>
          <cell r="B266" t="str">
            <v>Alambre THW # 4, St.</v>
          </cell>
          <cell r="C266" t="str">
            <v>p</v>
          </cell>
          <cell r="D266">
            <v>1</v>
          </cell>
          <cell r="E266">
            <v>6.3</v>
          </cell>
          <cell r="F266">
            <v>6.3</v>
          </cell>
        </row>
        <row r="267">
          <cell r="A267" t="str">
            <v>EL01.020</v>
          </cell>
          <cell r="B267" t="str">
            <v>Alambre THW # 2, St.</v>
          </cell>
          <cell r="C267" t="str">
            <v>p</v>
          </cell>
          <cell r="D267">
            <v>1</v>
          </cell>
          <cell r="E267">
            <v>9.25</v>
          </cell>
          <cell r="F267">
            <v>9.25</v>
          </cell>
        </row>
        <row r="268">
          <cell r="A268" t="str">
            <v>EL01.021</v>
          </cell>
          <cell r="B268" t="str">
            <v>Alambre THW # 1/0, St.</v>
          </cell>
          <cell r="C268" t="str">
            <v>p</v>
          </cell>
          <cell r="D268">
            <v>1</v>
          </cell>
          <cell r="E268">
            <v>17.739999999999998</v>
          </cell>
          <cell r="F268">
            <v>17.739999999999998</v>
          </cell>
        </row>
        <row r="269">
          <cell r="A269" t="str">
            <v>EL01.022</v>
          </cell>
          <cell r="B269" t="str">
            <v>Tape eléctrico</v>
          </cell>
          <cell r="C269" t="str">
            <v>p</v>
          </cell>
          <cell r="D269">
            <v>1</v>
          </cell>
          <cell r="E269">
            <v>46</v>
          </cell>
          <cell r="F269">
            <v>46</v>
          </cell>
        </row>
        <row r="270">
          <cell r="A270" t="str">
            <v>EL01.023</v>
          </cell>
          <cell r="B270" t="str">
            <v>Interruptor sencillo, luminex</v>
          </cell>
          <cell r="C270" t="str">
            <v>u</v>
          </cell>
          <cell r="D270">
            <v>1</v>
          </cell>
          <cell r="E270">
            <v>16.95</v>
          </cell>
          <cell r="F270">
            <v>16.95</v>
          </cell>
        </row>
        <row r="271">
          <cell r="A271" t="str">
            <v>EL01.024</v>
          </cell>
          <cell r="B271" t="str">
            <v>Interruptor doble, luminex</v>
          </cell>
          <cell r="C271" t="str">
            <v>u</v>
          </cell>
          <cell r="D271">
            <v>1</v>
          </cell>
          <cell r="E271">
            <v>28.95</v>
          </cell>
          <cell r="F271">
            <v>28.95</v>
          </cell>
        </row>
        <row r="272">
          <cell r="A272" t="str">
            <v>EL01.025</v>
          </cell>
          <cell r="B272" t="str">
            <v>Interruptor triple, LUMINEX</v>
          </cell>
          <cell r="C272" t="str">
            <v>u</v>
          </cell>
          <cell r="D272">
            <v>1</v>
          </cell>
          <cell r="E272">
            <v>42</v>
          </cell>
          <cell r="F272">
            <v>42</v>
          </cell>
        </row>
        <row r="273">
          <cell r="A273" t="str">
            <v>EL01.026</v>
          </cell>
          <cell r="B273" t="str">
            <v>Interruptor sencillo de tres vias, Luminex</v>
          </cell>
          <cell r="C273" t="str">
            <v>u</v>
          </cell>
          <cell r="D273">
            <v>1</v>
          </cell>
          <cell r="E273">
            <v>20.95</v>
          </cell>
          <cell r="F273">
            <v>20.95</v>
          </cell>
        </row>
        <row r="274">
          <cell r="A274" t="str">
            <v>EL01.027</v>
          </cell>
          <cell r="B274" t="str">
            <v>Interruptor sencillo de cuatro vias, Vimar</v>
          </cell>
          <cell r="C274" t="str">
            <v>u</v>
          </cell>
          <cell r="D274">
            <v>1</v>
          </cell>
          <cell r="E274">
            <v>62</v>
          </cell>
          <cell r="F274">
            <v>62</v>
          </cell>
        </row>
        <row r="275">
          <cell r="A275" t="str">
            <v>EL01.028</v>
          </cell>
          <cell r="B275" t="str">
            <v>Interruptor piloto americano, Levinton</v>
          </cell>
          <cell r="C275" t="str">
            <v>u</v>
          </cell>
          <cell r="D275">
            <v>1</v>
          </cell>
          <cell r="E275">
            <v>66</v>
          </cell>
          <cell r="F275">
            <v>66</v>
          </cell>
        </row>
        <row r="276">
          <cell r="A276" t="str">
            <v>EL01.029</v>
          </cell>
          <cell r="B276" t="str">
            <v>Tomacorriente doble 110 V.</v>
          </cell>
          <cell r="C276" t="str">
            <v>u</v>
          </cell>
          <cell r="D276">
            <v>1</v>
          </cell>
          <cell r="E276">
            <v>21.95</v>
          </cell>
          <cell r="F276">
            <v>21.95</v>
          </cell>
        </row>
        <row r="277">
          <cell r="A277" t="str">
            <v>EL01.030</v>
          </cell>
          <cell r="B277" t="str">
            <v>Tomacorriente sencillo 220 V.</v>
          </cell>
          <cell r="C277" t="str">
            <v>u</v>
          </cell>
          <cell r="D277">
            <v>1</v>
          </cell>
          <cell r="E277">
            <v>30</v>
          </cell>
          <cell r="F277">
            <v>30</v>
          </cell>
        </row>
        <row r="278">
          <cell r="A278" t="str">
            <v>EL01.031</v>
          </cell>
          <cell r="B278" t="str">
            <v>Boton timbre, Luminex</v>
          </cell>
          <cell r="C278" t="str">
            <v>u</v>
          </cell>
          <cell r="D278">
            <v>1</v>
          </cell>
          <cell r="E278">
            <v>18.95</v>
          </cell>
          <cell r="F278">
            <v>18.95</v>
          </cell>
        </row>
        <row r="279">
          <cell r="A279" t="str">
            <v>EL01.032</v>
          </cell>
          <cell r="B279" t="str">
            <v>Timbre</v>
          </cell>
          <cell r="C279" t="str">
            <v>u</v>
          </cell>
          <cell r="D279">
            <v>1</v>
          </cell>
          <cell r="E279">
            <v>99</v>
          </cell>
          <cell r="F279">
            <v>99</v>
          </cell>
        </row>
        <row r="280">
          <cell r="A280" t="str">
            <v>EL01.036</v>
          </cell>
          <cell r="B280" t="str">
            <v>Caja distribución 2 a 4 circuitos</v>
          </cell>
          <cell r="C280" t="str">
            <v>u</v>
          </cell>
          <cell r="D280">
            <v>1</v>
          </cell>
          <cell r="E280">
            <v>179</v>
          </cell>
          <cell r="F280">
            <v>179</v>
          </cell>
        </row>
        <row r="281">
          <cell r="A281" t="str">
            <v>EL01.037</v>
          </cell>
          <cell r="B281" t="str">
            <v>Caja distribución 4 a 8 circuitos</v>
          </cell>
          <cell r="C281" t="str">
            <v>u</v>
          </cell>
          <cell r="D281">
            <v>1</v>
          </cell>
          <cell r="E281">
            <v>204</v>
          </cell>
          <cell r="F281">
            <v>204</v>
          </cell>
        </row>
        <row r="282">
          <cell r="A282" t="str">
            <v>EL01.038</v>
          </cell>
          <cell r="B282" t="str">
            <v>Caja distribución 8 a 12 circuitos</v>
          </cell>
          <cell r="C282" t="str">
            <v>u</v>
          </cell>
          <cell r="D282">
            <v>1</v>
          </cell>
          <cell r="E282">
            <v>385</v>
          </cell>
          <cell r="F282">
            <v>385</v>
          </cell>
        </row>
        <row r="283">
          <cell r="A283" t="str">
            <v>EL01.039</v>
          </cell>
          <cell r="B283" t="str">
            <v>Caja distribución 8 a 16 circuitos</v>
          </cell>
          <cell r="C283" t="str">
            <v>u</v>
          </cell>
          <cell r="D283">
            <v>1</v>
          </cell>
          <cell r="E283">
            <v>460</v>
          </cell>
          <cell r="F283">
            <v>460</v>
          </cell>
        </row>
        <row r="284">
          <cell r="A284" t="str">
            <v>EL01.040</v>
          </cell>
          <cell r="B284" t="str">
            <v>Caja distribución 12 a 24 circuitos</v>
          </cell>
          <cell r="C284" t="str">
            <v>u</v>
          </cell>
          <cell r="D284">
            <v>1</v>
          </cell>
          <cell r="E284">
            <v>510</v>
          </cell>
          <cell r="F284">
            <v>510</v>
          </cell>
        </row>
        <row r="285">
          <cell r="A285" t="str">
            <v>EL01.040</v>
          </cell>
          <cell r="B285" t="str">
            <v>Breakers</v>
          </cell>
          <cell r="C285" t="str">
            <v>u</v>
          </cell>
          <cell r="D285">
            <v>1</v>
          </cell>
          <cell r="E285">
            <v>60</v>
          </cell>
          <cell r="F285">
            <v>60</v>
          </cell>
        </row>
        <row r="286">
          <cell r="A286" t="str">
            <v>EX</v>
          </cell>
          <cell r="B286" t="str">
            <v>EXCAVACIONES</v>
          </cell>
          <cell r="D286" t="str">
            <v/>
          </cell>
          <cell r="F286" t="str">
            <v/>
          </cell>
        </row>
        <row r="287">
          <cell r="A287" t="str">
            <v>EX01.001</v>
          </cell>
          <cell r="B287" t="str">
            <v>Exc. Roca con Compresor hasta 3.00 m. de profundidad</v>
          </cell>
          <cell r="C287" t="str">
            <v>m3</v>
          </cell>
          <cell r="D287">
            <v>1</v>
          </cell>
          <cell r="E287">
            <v>290</v>
          </cell>
          <cell r="F287">
            <v>290</v>
          </cell>
        </row>
        <row r="288">
          <cell r="A288" t="str">
            <v>EX01.002</v>
          </cell>
          <cell r="B288" t="str">
            <v>Exc. Roca con Compresor  3.01 - 5.00 m de profundidad</v>
          </cell>
          <cell r="C288" t="str">
            <v>m3</v>
          </cell>
          <cell r="D288">
            <v>1</v>
          </cell>
          <cell r="E288">
            <v>310</v>
          </cell>
          <cell r="F288">
            <v>310</v>
          </cell>
        </row>
        <row r="289">
          <cell r="A289" t="str">
            <v>EX01.003</v>
          </cell>
          <cell r="B289" t="str">
            <v>Exc. Roca con Compresor  5.01 - 7.00 m de profundidad</v>
          </cell>
          <cell r="C289" t="str">
            <v>m3</v>
          </cell>
          <cell r="D289">
            <v>1</v>
          </cell>
          <cell r="E289">
            <v>340</v>
          </cell>
          <cell r="F289">
            <v>340</v>
          </cell>
        </row>
        <row r="290">
          <cell r="A290" t="str">
            <v>EX01.004</v>
          </cell>
          <cell r="B290" t="str">
            <v>Exc. Roca Dura a Mano hasta 3 m profundidad</v>
          </cell>
          <cell r="C290" t="str">
            <v>m3</v>
          </cell>
          <cell r="D290">
            <v>1</v>
          </cell>
          <cell r="E290">
            <v>256</v>
          </cell>
          <cell r="F290">
            <v>256</v>
          </cell>
        </row>
        <row r="291">
          <cell r="A291" t="str">
            <v>EX01.005</v>
          </cell>
          <cell r="B291" t="str">
            <v>Exc. Roca Dura a Mano 3.01 - 5.00 m. de profundidad</v>
          </cell>
          <cell r="C291" t="str">
            <v>m3</v>
          </cell>
          <cell r="D291">
            <v>1</v>
          </cell>
          <cell r="E291">
            <v>271</v>
          </cell>
          <cell r="F291">
            <v>271</v>
          </cell>
        </row>
        <row r="292">
          <cell r="A292" t="str">
            <v>EX01.006</v>
          </cell>
          <cell r="B292" t="str">
            <v>Exc. Roca Dura a Mano 5.01 - 7.00 m. de profundidad</v>
          </cell>
          <cell r="C292" t="str">
            <v>m3</v>
          </cell>
          <cell r="D292">
            <v>1</v>
          </cell>
          <cell r="E292">
            <v>293</v>
          </cell>
          <cell r="F292">
            <v>293</v>
          </cell>
        </row>
        <row r="293">
          <cell r="A293" t="str">
            <v>EX01.007</v>
          </cell>
          <cell r="B293" t="str">
            <v>Exc. Roca Blanda a Mano hasta 3.00 m. de profundidad</v>
          </cell>
          <cell r="C293" t="str">
            <v>m3</v>
          </cell>
          <cell r="D293">
            <v>1</v>
          </cell>
          <cell r="E293">
            <v>204</v>
          </cell>
          <cell r="F293">
            <v>204</v>
          </cell>
        </row>
        <row r="294">
          <cell r="A294" t="str">
            <v>EX01.008</v>
          </cell>
          <cell r="B294" t="str">
            <v>Exc. Roca Blanda a Mano 3.01 - 5.00 m. de profundidad</v>
          </cell>
          <cell r="C294" t="str">
            <v>m3</v>
          </cell>
          <cell r="D294">
            <v>1</v>
          </cell>
          <cell r="E294">
            <v>217</v>
          </cell>
          <cell r="F294">
            <v>217</v>
          </cell>
        </row>
        <row r="295">
          <cell r="A295" t="str">
            <v>EX01.009</v>
          </cell>
          <cell r="B295" t="str">
            <v>Exc. Roca Blanda a Mano 5.01 - 7.00 m. de profundidad</v>
          </cell>
          <cell r="C295" t="str">
            <v>m3</v>
          </cell>
          <cell r="D295">
            <v>1</v>
          </cell>
          <cell r="E295">
            <v>235</v>
          </cell>
          <cell r="F295">
            <v>235</v>
          </cell>
        </row>
        <row r="296">
          <cell r="A296" t="str">
            <v>EX01.010</v>
          </cell>
          <cell r="B296" t="str">
            <v>Exc. Roca Tosca a Mano hasta 3.00 m. de profundidad</v>
          </cell>
          <cell r="C296" t="str">
            <v>m3</v>
          </cell>
          <cell r="D296">
            <v>1</v>
          </cell>
          <cell r="E296">
            <v>176</v>
          </cell>
          <cell r="F296">
            <v>176</v>
          </cell>
        </row>
        <row r="297">
          <cell r="A297" t="str">
            <v>EX01.011</v>
          </cell>
          <cell r="B297" t="str">
            <v>Exc. Roca Tosca a Mano 3.01 - 5.00 m. de profundidad</v>
          </cell>
          <cell r="C297" t="str">
            <v>m3</v>
          </cell>
          <cell r="D297">
            <v>1</v>
          </cell>
          <cell r="E297">
            <v>187</v>
          </cell>
          <cell r="F297">
            <v>187</v>
          </cell>
        </row>
        <row r="298">
          <cell r="A298" t="str">
            <v>EX01.012</v>
          </cell>
          <cell r="B298" t="str">
            <v>Exc. Roca Tosca a Mano 5.01 - 7.00 m. de profundidad</v>
          </cell>
          <cell r="C298" t="str">
            <v>m3</v>
          </cell>
          <cell r="D298">
            <v>1</v>
          </cell>
          <cell r="E298">
            <v>202</v>
          </cell>
          <cell r="F298">
            <v>202</v>
          </cell>
        </row>
        <row r="299">
          <cell r="A299" t="str">
            <v>EX02.001</v>
          </cell>
          <cell r="B299" t="str">
            <v>Exc. Caliche a Mano hasta 3.00 m. de profundidad</v>
          </cell>
          <cell r="C299" t="str">
            <v>m3</v>
          </cell>
          <cell r="D299">
            <v>1</v>
          </cell>
          <cell r="E299">
            <v>128</v>
          </cell>
          <cell r="F299">
            <v>128</v>
          </cell>
        </row>
        <row r="300">
          <cell r="A300" t="str">
            <v>EX02.002</v>
          </cell>
          <cell r="B300" t="str">
            <v>Exc. Caliche a Mano 3.01 - 5.00 m. de profundidad</v>
          </cell>
          <cell r="C300" t="str">
            <v>m3</v>
          </cell>
          <cell r="D300">
            <v>1</v>
          </cell>
          <cell r="E300">
            <v>140</v>
          </cell>
          <cell r="F300">
            <v>140</v>
          </cell>
        </row>
        <row r="301">
          <cell r="A301" t="str">
            <v>EX02.003</v>
          </cell>
          <cell r="B301" t="str">
            <v>Exc. Caliche a Mano 5.01 - 7.00 m. de profundidad</v>
          </cell>
          <cell r="C301" t="str">
            <v>m3</v>
          </cell>
          <cell r="D301">
            <v>1</v>
          </cell>
          <cell r="E301">
            <v>153</v>
          </cell>
          <cell r="F301">
            <v>153</v>
          </cell>
        </row>
        <row r="302">
          <cell r="A302" t="str">
            <v>EX03.001</v>
          </cell>
          <cell r="B302" t="str">
            <v>Exc. Tierra a Mano hasta 3.00 m. de profundidad</v>
          </cell>
          <cell r="C302" t="str">
            <v>m3</v>
          </cell>
          <cell r="D302">
            <v>1</v>
          </cell>
          <cell r="E302">
            <v>79</v>
          </cell>
          <cell r="F302">
            <v>79</v>
          </cell>
        </row>
        <row r="303">
          <cell r="A303" t="str">
            <v>EX03.002</v>
          </cell>
          <cell r="B303" t="str">
            <v>Exc. Tierra a Mano 3.01 - 5.00 m. de profundidad</v>
          </cell>
          <cell r="C303" t="str">
            <v>m3</v>
          </cell>
          <cell r="D303">
            <v>1</v>
          </cell>
          <cell r="E303">
            <v>88</v>
          </cell>
          <cell r="F303">
            <v>88</v>
          </cell>
        </row>
        <row r="304">
          <cell r="A304" t="str">
            <v>EX03.003</v>
          </cell>
          <cell r="B304" t="str">
            <v>Exc. Tierra a Mano 5.01 - 7.00 m. de profundidad</v>
          </cell>
          <cell r="C304" t="str">
            <v>m3</v>
          </cell>
          <cell r="D304">
            <v>1</v>
          </cell>
          <cell r="E304">
            <v>96</v>
          </cell>
          <cell r="F304">
            <v>96</v>
          </cell>
        </row>
        <row r="305">
          <cell r="A305" t="str">
            <v>HO</v>
          </cell>
          <cell r="B305" t="str">
            <v>HORMIGON</v>
          </cell>
          <cell r="D305" t="str">
            <v/>
          </cell>
          <cell r="F305" t="str">
            <v/>
          </cell>
        </row>
        <row r="306">
          <cell r="A306" t="str">
            <v>HO01.001</v>
          </cell>
          <cell r="B306" t="str">
            <v>Hormigón industrial 100 kg/cm2</v>
          </cell>
          <cell r="C306" t="str">
            <v>m3</v>
          </cell>
          <cell r="D306">
            <v>1.08</v>
          </cell>
          <cell r="E306">
            <v>970</v>
          </cell>
          <cell r="F306">
            <v>1047.5999999999999</v>
          </cell>
        </row>
        <row r="307">
          <cell r="A307" t="str">
            <v>HO01.002</v>
          </cell>
          <cell r="B307" t="str">
            <v>Hormigón industrial 140 kg/cm2</v>
          </cell>
          <cell r="C307" t="str">
            <v>m3</v>
          </cell>
          <cell r="D307">
            <v>1.08</v>
          </cell>
          <cell r="E307">
            <v>1020</v>
          </cell>
          <cell r="F307">
            <v>1101.5999999999999</v>
          </cell>
        </row>
        <row r="308">
          <cell r="A308" t="str">
            <v>HO01.003</v>
          </cell>
          <cell r="B308" t="str">
            <v>Hormigón industrial 160 kg/cm2</v>
          </cell>
          <cell r="C308" t="str">
            <v>m3</v>
          </cell>
          <cell r="D308">
            <v>1.08</v>
          </cell>
          <cell r="E308">
            <v>1045</v>
          </cell>
          <cell r="F308">
            <v>1128.5999999999999</v>
          </cell>
        </row>
        <row r="309">
          <cell r="A309" t="str">
            <v>HO01.004</v>
          </cell>
          <cell r="B309" t="str">
            <v>Hormigón industrial 180 kg/cm2</v>
          </cell>
          <cell r="C309" t="str">
            <v>m3</v>
          </cell>
          <cell r="D309">
            <v>1.08</v>
          </cell>
          <cell r="E309">
            <v>1090</v>
          </cell>
          <cell r="F309">
            <v>1177.2</v>
          </cell>
        </row>
        <row r="310">
          <cell r="A310" t="str">
            <v>HO01.005</v>
          </cell>
          <cell r="B310" t="str">
            <v>Hormigón industrial 210 kg/cm2</v>
          </cell>
          <cell r="C310" t="str">
            <v>m3</v>
          </cell>
          <cell r="D310">
            <v>1.08</v>
          </cell>
          <cell r="E310">
            <v>1140</v>
          </cell>
          <cell r="F310">
            <v>1231.2</v>
          </cell>
        </row>
        <row r="311">
          <cell r="A311" t="str">
            <v>HO01.006</v>
          </cell>
          <cell r="B311" t="str">
            <v>Hormigón industrial 240 kg/cm3</v>
          </cell>
          <cell r="C311" t="str">
            <v>m3</v>
          </cell>
          <cell r="D311">
            <v>1.08</v>
          </cell>
          <cell r="E311">
            <v>1195</v>
          </cell>
          <cell r="F311">
            <v>1290.5999999999999</v>
          </cell>
        </row>
        <row r="312">
          <cell r="A312" t="str">
            <v>HO01.007</v>
          </cell>
          <cell r="B312" t="str">
            <v>Hormigón industrial 250 kg/cm3</v>
          </cell>
          <cell r="C312" t="str">
            <v>m3</v>
          </cell>
          <cell r="D312">
            <v>1.08</v>
          </cell>
          <cell r="E312">
            <v>1230</v>
          </cell>
          <cell r="F312">
            <v>1328.4</v>
          </cell>
        </row>
        <row r="313">
          <cell r="A313" t="str">
            <v>HO01.008</v>
          </cell>
          <cell r="B313" t="str">
            <v>Hormigón industrial 260 kg/cm3</v>
          </cell>
          <cell r="C313" t="str">
            <v>m3</v>
          </cell>
          <cell r="D313">
            <v>1.08</v>
          </cell>
          <cell r="E313">
            <v>1255</v>
          </cell>
          <cell r="F313">
            <v>1355.4</v>
          </cell>
        </row>
        <row r="314">
          <cell r="A314" t="str">
            <v>HO01.009</v>
          </cell>
          <cell r="B314" t="str">
            <v>Hormigón industrial 280 kg/cm3</v>
          </cell>
          <cell r="C314" t="str">
            <v>m3</v>
          </cell>
          <cell r="D314">
            <v>1.08</v>
          </cell>
          <cell r="E314">
            <v>1310</v>
          </cell>
          <cell r="F314">
            <v>1414.8</v>
          </cell>
        </row>
        <row r="315">
          <cell r="A315" t="str">
            <v>HO01.010</v>
          </cell>
          <cell r="B315" t="str">
            <v>Hormigón industrial 300 kg/cm3</v>
          </cell>
          <cell r="C315" t="str">
            <v>m3</v>
          </cell>
          <cell r="D315">
            <v>1.08</v>
          </cell>
          <cell r="E315">
            <v>1365</v>
          </cell>
          <cell r="F315">
            <v>1474.2</v>
          </cell>
        </row>
        <row r="316">
          <cell r="A316" t="str">
            <v>HO01.011</v>
          </cell>
          <cell r="B316" t="str">
            <v>Hormigón industrial 315 kg/cm3</v>
          </cell>
          <cell r="C316" t="str">
            <v>m3</v>
          </cell>
          <cell r="D316">
            <v>1.08</v>
          </cell>
          <cell r="E316">
            <v>1415</v>
          </cell>
          <cell r="F316">
            <v>1528.2</v>
          </cell>
        </row>
        <row r="317">
          <cell r="A317" t="str">
            <v>HO01.012</v>
          </cell>
          <cell r="B317" t="str">
            <v>Hormigón industrial 350 kg/cm3</v>
          </cell>
          <cell r="C317" t="str">
            <v>m3</v>
          </cell>
          <cell r="D317">
            <v>1.08</v>
          </cell>
          <cell r="E317">
            <v>1510</v>
          </cell>
          <cell r="F317">
            <v>1630.8</v>
          </cell>
        </row>
        <row r="318">
          <cell r="A318" t="str">
            <v>HO01.013</v>
          </cell>
          <cell r="B318" t="str">
            <v>Hormigón industrial 400 kg/cm3</v>
          </cell>
          <cell r="C318" t="str">
            <v>m3</v>
          </cell>
          <cell r="D318">
            <v>1.08</v>
          </cell>
          <cell r="E318">
            <v>1605</v>
          </cell>
          <cell r="F318">
            <v>1733.4</v>
          </cell>
        </row>
        <row r="319">
          <cell r="A319" t="str">
            <v>HO02.001</v>
          </cell>
          <cell r="B319" t="str">
            <v>Instalación de Bomba</v>
          </cell>
          <cell r="C319" t="str">
            <v>vez</v>
          </cell>
          <cell r="D319">
            <v>1.08</v>
          </cell>
          <cell r="E319">
            <v>500</v>
          </cell>
          <cell r="F319">
            <v>540</v>
          </cell>
        </row>
        <row r="320">
          <cell r="A320" t="str">
            <v>HO02.002</v>
          </cell>
          <cell r="B320" t="str">
            <v>Bombeo Hormigón</v>
          </cell>
          <cell r="C320" t="str">
            <v>m3</v>
          </cell>
          <cell r="D320">
            <v>1.08</v>
          </cell>
          <cell r="E320">
            <v>90</v>
          </cell>
          <cell r="F320">
            <v>97.2</v>
          </cell>
        </row>
        <row r="321">
          <cell r="A321" t="str">
            <v>HO02.003</v>
          </cell>
          <cell r="B321" t="str">
            <v>Vaciado y ligado con ligadora</v>
          </cell>
          <cell r="C321" t="str">
            <v>m3</v>
          </cell>
          <cell r="D321">
            <v>1</v>
          </cell>
          <cell r="E321">
            <v>106.52</v>
          </cell>
          <cell r="F321">
            <v>106.52</v>
          </cell>
        </row>
        <row r="322">
          <cell r="A322" t="str">
            <v>HO02.004</v>
          </cell>
          <cell r="B322" t="str">
            <v>Vaciado y ligado a mano</v>
          </cell>
          <cell r="C322" t="str">
            <v>m3</v>
          </cell>
          <cell r="D322">
            <v>1</v>
          </cell>
          <cell r="E322">
            <v>188.27</v>
          </cell>
          <cell r="F322">
            <v>188.27</v>
          </cell>
        </row>
        <row r="323">
          <cell r="A323" t="str">
            <v>HO03.001</v>
          </cell>
          <cell r="B323" t="str">
            <v>Aditivo "PDA 25-R" (5 Gls)</v>
          </cell>
          <cell r="C323" t="str">
            <v>gl</v>
          </cell>
          <cell r="D323">
            <v>1</v>
          </cell>
          <cell r="E323">
            <v>108.61</v>
          </cell>
          <cell r="F323">
            <v>108.61</v>
          </cell>
        </row>
        <row r="324">
          <cell r="A324" t="str">
            <v>HO03.002</v>
          </cell>
          <cell r="B324" t="str">
            <v>Agua (camión de 2,000 - 2,500 gls)</v>
          </cell>
          <cell r="C324" t="str">
            <v>gl</v>
          </cell>
          <cell r="D324">
            <v>1</v>
          </cell>
          <cell r="E324">
            <v>0.1</v>
          </cell>
          <cell r="F324">
            <v>0.1</v>
          </cell>
        </row>
        <row r="325">
          <cell r="A325" t="str">
            <v>HO04.001</v>
          </cell>
          <cell r="B325" t="str">
            <v>Vibrado del Hormigón</v>
          </cell>
          <cell r="C325" t="str">
            <v>m3</v>
          </cell>
          <cell r="D325">
            <v>1</v>
          </cell>
          <cell r="E325">
            <v>0.9</v>
          </cell>
          <cell r="F325">
            <v>0.9</v>
          </cell>
        </row>
        <row r="326">
          <cell r="A326" t="str">
            <v>IM</v>
          </cell>
          <cell r="B326" t="str">
            <v>IMPERMEABILIZANTES</v>
          </cell>
          <cell r="D326" t="str">
            <v/>
          </cell>
          <cell r="F326" t="str">
            <v/>
          </cell>
        </row>
        <row r="327">
          <cell r="A327" t="str">
            <v>IM01.001</v>
          </cell>
          <cell r="B327" t="str">
            <v>Primaseal "TAVARES INDUSTRIALES"</v>
          </cell>
          <cell r="C327" t="str">
            <v>gl</v>
          </cell>
          <cell r="D327">
            <v>1.08</v>
          </cell>
          <cell r="E327">
            <v>40.299999999999997</v>
          </cell>
          <cell r="F327">
            <v>43.52</v>
          </cell>
        </row>
        <row r="328">
          <cell r="A328" t="str">
            <v>IM01.002</v>
          </cell>
          <cell r="B328" t="str">
            <v>Permaseal "TAVARES INDUSTRIALES"</v>
          </cell>
          <cell r="C328" t="str">
            <v>gl</v>
          </cell>
          <cell r="D328">
            <v>1.08</v>
          </cell>
          <cell r="E328">
            <v>113.39</v>
          </cell>
          <cell r="F328">
            <v>122.46</v>
          </cell>
        </row>
        <row r="329">
          <cell r="A329" t="str">
            <v>IM01.003</v>
          </cell>
          <cell r="B329" t="str">
            <v>ALM. , lata de 5 gl.</v>
          </cell>
          <cell r="C329" t="str">
            <v>lta</v>
          </cell>
          <cell r="D329">
            <v>1</v>
          </cell>
          <cell r="E329">
            <v>950</v>
          </cell>
          <cell r="F329">
            <v>950</v>
          </cell>
        </row>
        <row r="330">
          <cell r="A330" t="str">
            <v>IM01.004</v>
          </cell>
          <cell r="B330" t="str">
            <v>Silicool, lata de 5 gl. (Criollo)</v>
          </cell>
          <cell r="C330" t="str">
            <v>lta</v>
          </cell>
          <cell r="D330">
            <v>1</v>
          </cell>
          <cell r="E330">
            <v>875</v>
          </cell>
          <cell r="F330">
            <v>875</v>
          </cell>
        </row>
        <row r="331">
          <cell r="A331" t="str">
            <v>IM01.005</v>
          </cell>
          <cell r="B331" t="str">
            <v>Sellador  de techo criollo "Popular"</v>
          </cell>
          <cell r="C331" t="str">
            <v>gl</v>
          </cell>
          <cell r="D331">
            <v>1</v>
          </cell>
          <cell r="E331">
            <v>728</v>
          </cell>
          <cell r="F331">
            <v>728</v>
          </cell>
        </row>
        <row r="332">
          <cell r="A332" t="str">
            <v>IM01.006</v>
          </cell>
          <cell r="B332" t="str">
            <v>Sellador de techo importado "Surseal", lata 5 gl.</v>
          </cell>
          <cell r="C332" t="str">
            <v>lta</v>
          </cell>
          <cell r="D332">
            <v>1</v>
          </cell>
          <cell r="E332">
            <v>650</v>
          </cell>
          <cell r="F332">
            <v>650</v>
          </cell>
        </row>
        <row r="333">
          <cell r="A333" t="str">
            <v>IM01.007</v>
          </cell>
          <cell r="B333" t="str">
            <v>Sellador de techo importado "Lanco", lata 5 gls.</v>
          </cell>
          <cell r="C333" t="str">
            <v>lta</v>
          </cell>
          <cell r="D333">
            <v>1</v>
          </cell>
          <cell r="E333">
            <v>895</v>
          </cell>
          <cell r="F333">
            <v>895</v>
          </cell>
        </row>
        <row r="334">
          <cell r="A334" t="str">
            <v>IM01.008</v>
          </cell>
          <cell r="B334" t="str">
            <v>Aguapel "P.Q.I.","PROTEX" 5 gls</v>
          </cell>
          <cell r="C334" t="str">
            <v>gl</v>
          </cell>
          <cell r="D334">
            <v>1</v>
          </cell>
          <cell r="E334">
            <v>113.09</v>
          </cell>
          <cell r="F334">
            <v>113.09</v>
          </cell>
        </row>
        <row r="335">
          <cell r="A335" t="str">
            <v>IM01.009</v>
          </cell>
          <cell r="B335" t="str">
            <v>Bitunol instalado, 5 años garantía</v>
          </cell>
          <cell r="C335" t="str">
            <v>m2</v>
          </cell>
          <cell r="D335">
            <v>1</v>
          </cell>
          <cell r="E335">
            <v>165</v>
          </cell>
          <cell r="F335">
            <v>165</v>
          </cell>
        </row>
        <row r="336">
          <cell r="A336" t="str">
            <v>LV</v>
          </cell>
          <cell r="B336" t="str">
            <v>LAVADEROS Y VERTEDEROS DE GRANITO</v>
          </cell>
          <cell r="D336" t="str">
            <v/>
          </cell>
          <cell r="F336" t="str">
            <v/>
          </cell>
        </row>
        <row r="337">
          <cell r="A337" t="str">
            <v>LV01.001</v>
          </cell>
          <cell r="B337" t="str">
            <v>Lavadero doble de granito, 1.50 x 0.50 m.</v>
          </cell>
          <cell r="C337" t="str">
            <v>u</v>
          </cell>
          <cell r="D337">
            <v>1</v>
          </cell>
          <cell r="E337">
            <v>1181</v>
          </cell>
          <cell r="F337">
            <v>1181</v>
          </cell>
        </row>
        <row r="338">
          <cell r="A338" t="str">
            <v>LV01.004</v>
          </cell>
          <cell r="B338" t="str">
            <v>Transporte lavaderos y tina</v>
          </cell>
          <cell r="C338" t="str">
            <v>u</v>
          </cell>
          <cell r="D338">
            <v>1</v>
          </cell>
          <cell r="E338">
            <v>24.75</v>
          </cell>
          <cell r="F338">
            <v>24.75</v>
          </cell>
        </row>
        <row r="339">
          <cell r="A339" t="str">
            <v>LL</v>
          </cell>
          <cell r="B339" t="str">
            <v>LLAVES DE PASO Y VALVULAS</v>
          </cell>
          <cell r="D339" t="str">
            <v/>
          </cell>
          <cell r="F339" t="str">
            <v/>
          </cell>
        </row>
        <row r="340">
          <cell r="A340" t="str">
            <v>LL01.001</v>
          </cell>
          <cell r="B340" t="str">
            <v>Llave de paso RED WHITE de 1/2"</v>
          </cell>
          <cell r="C340" t="str">
            <v>u</v>
          </cell>
          <cell r="D340">
            <v>1</v>
          </cell>
          <cell r="E340">
            <v>98</v>
          </cell>
          <cell r="F340">
            <v>98</v>
          </cell>
        </row>
        <row r="341">
          <cell r="A341" t="str">
            <v>LL01.002</v>
          </cell>
          <cell r="B341" t="str">
            <v>Llave de paso RED WHITE de 3/4"</v>
          </cell>
          <cell r="C341" t="str">
            <v>u</v>
          </cell>
          <cell r="D341">
            <v>1</v>
          </cell>
          <cell r="E341">
            <v>125</v>
          </cell>
          <cell r="F341">
            <v>125</v>
          </cell>
        </row>
        <row r="342">
          <cell r="A342" t="str">
            <v>LL01.003</v>
          </cell>
          <cell r="B342" t="str">
            <v>Llave de paso RED WHITE de 1"</v>
          </cell>
          <cell r="C342" t="str">
            <v>u</v>
          </cell>
          <cell r="D342">
            <v>1</v>
          </cell>
          <cell r="E342">
            <v>176</v>
          </cell>
          <cell r="F342">
            <v>176</v>
          </cell>
        </row>
        <row r="343">
          <cell r="A343" t="str">
            <v>LL01.004</v>
          </cell>
          <cell r="B343" t="str">
            <v>Llave de paso RED WHITE de 1 1/2"</v>
          </cell>
          <cell r="C343" t="str">
            <v>u</v>
          </cell>
          <cell r="D343">
            <v>1</v>
          </cell>
          <cell r="E343">
            <v>315</v>
          </cell>
          <cell r="F343">
            <v>315</v>
          </cell>
        </row>
        <row r="344">
          <cell r="A344" t="str">
            <v>LL01.005</v>
          </cell>
          <cell r="B344" t="str">
            <v>Llave de paso RED WHITE de 2"</v>
          </cell>
          <cell r="C344" t="str">
            <v>u</v>
          </cell>
          <cell r="D344">
            <v>1</v>
          </cell>
          <cell r="E344">
            <v>482</v>
          </cell>
          <cell r="F344">
            <v>482</v>
          </cell>
        </row>
        <row r="345">
          <cell r="A345" t="str">
            <v>LL01.006</v>
          </cell>
          <cell r="B345" t="str">
            <v>Llave de paso RED WHITE de 2 1/2"</v>
          </cell>
          <cell r="C345" t="str">
            <v>u</v>
          </cell>
          <cell r="D345">
            <v>1</v>
          </cell>
          <cell r="E345">
            <v>932</v>
          </cell>
          <cell r="F345">
            <v>932</v>
          </cell>
        </row>
        <row r="346">
          <cell r="A346" t="str">
            <v>LL01.006</v>
          </cell>
          <cell r="B346" t="str">
            <v>Llave de paso RED WHITE de 3"</v>
          </cell>
          <cell r="C346" t="str">
            <v>u</v>
          </cell>
          <cell r="D346">
            <v>1</v>
          </cell>
          <cell r="E346">
            <v>1315</v>
          </cell>
          <cell r="F346">
            <v>1315</v>
          </cell>
        </row>
        <row r="347">
          <cell r="A347" t="str">
            <v>LL02.001</v>
          </cell>
          <cell r="B347" t="str">
            <v>Válvula de cisterna, de 1/2" NIBCO</v>
          </cell>
          <cell r="C347" t="str">
            <v>u</v>
          </cell>
          <cell r="D347">
            <v>1</v>
          </cell>
          <cell r="E347">
            <v>70</v>
          </cell>
          <cell r="F347">
            <v>70</v>
          </cell>
        </row>
        <row r="348">
          <cell r="A348" t="str">
            <v>LL02.002</v>
          </cell>
          <cell r="B348" t="str">
            <v>Válvula de cisterna, de 3/4" NIBCO</v>
          </cell>
          <cell r="C348" t="str">
            <v>u</v>
          </cell>
          <cell r="D348">
            <v>1</v>
          </cell>
          <cell r="E348">
            <v>90</v>
          </cell>
          <cell r="F348">
            <v>90</v>
          </cell>
        </row>
        <row r="349">
          <cell r="A349" t="str">
            <v>LL02.003</v>
          </cell>
          <cell r="B349" t="str">
            <v>Válvula de cisterna, de 1" NIBCO</v>
          </cell>
          <cell r="C349" t="str">
            <v>u</v>
          </cell>
          <cell r="D349">
            <v>1</v>
          </cell>
          <cell r="E349">
            <v>165</v>
          </cell>
          <cell r="F349">
            <v>165</v>
          </cell>
        </row>
        <row r="350">
          <cell r="A350" t="str">
            <v>LL03.001</v>
          </cell>
          <cell r="B350" t="str">
            <v>Cheque horizontal de 1/2" EUROPA</v>
          </cell>
          <cell r="C350" t="str">
            <v>u</v>
          </cell>
          <cell r="D350">
            <v>1</v>
          </cell>
          <cell r="E350">
            <v>38</v>
          </cell>
          <cell r="F350">
            <v>38</v>
          </cell>
        </row>
        <row r="351">
          <cell r="A351" t="str">
            <v>LL03.002</v>
          </cell>
          <cell r="B351" t="str">
            <v>Cheque horizontal de 3/4" EUROPA</v>
          </cell>
          <cell r="C351" t="str">
            <v>u</v>
          </cell>
          <cell r="D351">
            <v>1</v>
          </cell>
          <cell r="E351">
            <v>52</v>
          </cell>
          <cell r="F351">
            <v>52</v>
          </cell>
        </row>
        <row r="352">
          <cell r="A352" t="str">
            <v>LL03.003</v>
          </cell>
          <cell r="B352" t="str">
            <v>Cheque horizontal de 1" EUROPA</v>
          </cell>
          <cell r="C352" t="str">
            <v>u</v>
          </cell>
          <cell r="D352">
            <v>1</v>
          </cell>
          <cell r="E352">
            <v>80</v>
          </cell>
          <cell r="F352">
            <v>80</v>
          </cell>
        </row>
        <row r="353">
          <cell r="A353" t="str">
            <v>LL03.004</v>
          </cell>
          <cell r="B353" t="str">
            <v>Cheque horizontal de 1 1/2" EUROPA</v>
          </cell>
          <cell r="C353" t="str">
            <v>u</v>
          </cell>
          <cell r="D353">
            <v>1</v>
          </cell>
          <cell r="E353">
            <v>136</v>
          </cell>
          <cell r="F353">
            <v>136</v>
          </cell>
        </row>
        <row r="354">
          <cell r="A354" t="str">
            <v>LL03.005</v>
          </cell>
          <cell r="B354" t="str">
            <v>Cheque horizontal de 2" EUROPA</v>
          </cell>
          <cell r="C354" t="str">
            <v>u</v>
          </cell>
          <cell r="D354">
            <v>1</v>
          </cell>
          <cell r="E354">
            <v>205</v>
          </cell>
          <cell r="F354">
            <v>205</v>
          </cell>
        </row>
        <row r="355">
          <cell r="A355" t="str">
            <v>LL03.006</v>
          </cell>
          <cell r="B355" t="str">
            <v>Cheque horizontal de 2 1/2" EUROPA</v>
          </cell>
          <cell r="C355" t="str">
            <v>u</v>
          </cell>
          <cell r="D355">
            <v>1</v>
          </cell>
          <cell r="E355">
            <v>440</v>
          </cell>
          <cell r="F355">
            <v>440</v>
          </cell>
        </row>
        <row r="356">
          <cell r="A356" t="str">
            <v>LL03.007</v>
          </cell>
          <cell r="B356" t="str">
            <v>Cheque horizontal de 3" EUROPA</v>
          </cell>
          <cell r="C356" t="str">
            <v>u</v>
          </cell>
          <cell r="D356">
            <v>1</v>
          </cell>
          <cell r="E356">
            <v>920</v>
          </cell>
          <cell r="F356">
            <v>920</v>
          </cell>
        </row>
        <row r="357">
          <cell r="A357" t="str">
            <v>LL03.008</v>
          </cell>
          <cell r="B357" t="str">
            <v>Cheque horizontal de 4" EUROPA</v>
          </cell>
          <cell r="C357" t="str">
            <v>u</v>
          </cell>
          <cell r="D357">
            <v>1</v>
          </cell>
          <cell r="E357">
            <v>1530</v>
          </cell>
          <cell r="F357">
            <v>1530</v>
          </cell>
        </row>
        <row r="358">
          <cell r="A358" t="str">
            <v>LL03.009</v>
          </cell>
          <cell r="B358" t="str">
            <v>Cheque vertical de 3/4" EUROPA</v>
          </cell>
          <cell r="C358" t="str">
            <v>u</v>
          </cell>
          <cell r="D358">
            <v>1</v>
          </cell>
          <cell r="E358">
            <v>78</v>
          </cell>
          <cell r="F358">
            <v>78</v>
          </cell>
        </row>
        <row r="359">
          <cell r="A359" t="str">
            <v>LL03.010</v>
          </cell>
          <cell r="B359" t="str">
            <v>Cheque vertical de 1" EUROPA</v>
          </cell>
          <cell r="C359" t="str">
            <v>u</v>
          </cell>
          <cell r="D359">
            <v>1</v>
          </cell>
          <cell r="E359">
            <v>86</v>
          </cell>
          <cell r="F359">
            <v>86</v>
          </cell>
        </row>
        <row r="360">
          <cell r="A360" t="str">
            <v>LL03.011</v>
          </cell>
          <cell r="B360" t="str">
            <v>Cheque vertical de 1 1/2" EUROPA</v>
          </cell>
          <cell r="C360" t="str">
            <v>u</v>
          </cell>
          <cell r="D360">
            <v>1</v>
          </cell>
          <cell r="E360">
            <v>178</v>
          </cell>
          <cell r="F360">
            <v>178</v>
          </cell>
        </row>
        <row r="361">
          <cell r="A361" t="str">
            <v>LL03.012</v>
          </cell>
          <cell r="B361" t="str">
            <v>Cheque vertical de 2" EUROPA</v>
          </cell>
          <cell r="C361" t="str">
            <v>u</v>
          </cell>
          <cell r="D361">
            <v>1</v>
          </cell>
          <cell r="E361">
            <v>262</v>
          </cell>
          <cell r="F361">
            <v>262</v>
          </cell>
        </row>
        <row r="362">
          <cell r="A362" t="str">
            <v>LL03.013</v>
          </cell>
          <cell r="B362" t="str">
            <v>Cheque vertical de 2 1/2" EUROPA</v>
          </cell>
          <cell r="C362" t="str">
            <v>u</v>
          </cell>
          <cell r="D362">
            <v>1</v>
          </cell>
          <cell r="E362">
            <v>586</v>
          </cell>
          <cell r="F362">
            <v>586</v>
          </cell>
        </row>
        <row r="363">
          <cell r="A363" t="str">
            <v>LL03.014</v>
          </cell>
          <cell r="B363" t="str">
            <v>Cheque vertical de 3" EUROPA</v>
          </cell>
          <cell r="C363" t="str">
            <v>u</v>
          </cell>
          <cell r="D363">
            <v>1</v>
          </cell>
          <cell r="E363">
            <v>890</v>
          </cell>
          <cell r="F363">
            <v>890</v>
          </cell>
        </row>
        <row r="364">
          <cell r="A364" t="str">
            <v>LL03.015</v>
          </cell>
          <cell r="B364" t="str">
            <v>Cheque vertical de 4" EUROPA</v>
          </cell>
          <cell r="C364" t="str">
            <v>u</v>
          </cell>
          <cell r="D364">
            <v>1</v>
          </cell>
          <cell r="E364">
            <v>1675</v>
          </cell>
          <cell r="F364">
            <v>1675</v>
          </cell>
        </row>
        <row r="365">
          <cell r="A365" t="str">
            <v>LL04.001</v>
          </cell>
          <cell r="B365" t="str">
            <v>Tapa de hierro para cistena 30" x 30"</v>
          </cell>
          <cell r="C365" t="str">
            <v>u</v>
          </cell>
          <cell r="D365">
            <v>1</v>
          </cell>
          <cell r="E365">
            <v>475</v>
          </cell>
          <cell r="F365">
            <v>475</v>
          </cell>
        </row>
        <row r="366">
          <cell r="A366" t="str">
            <v>LL04.002</v>
          </cell>
          <cell r="B366" t="str">
            <v>Tapa de aluminio para cistena 24" x 24"</v>
          </cell>
          <cell r="C366" t="str">
            <v>u</v>
          </cell>
          <cell r="D366">
            <v>1</v>
          </cell>
          <cell r="E366">
            <v>1150</v>
          </cell>
          <cell r="F366">
            <v>1150</v>
          </cell>
        </row>
        <row r="368">
          <cell r="A368" t="str">
            <v>MA</v>
          </cell>
          <cell r="B368" t="str">
            <v>MADERAS, CLAVOS, ZINC</v>
          </cell>
          <cell r="D368" t="str">
            <v/>
          </cell>
          <cell r="F368" t="str">
            <v/>
          </cell>
        </row>
        <row r="369">
          <cell r="A369" t="str">
            <v>MA01.001</v>
          </cell>
          <cell r="B369" t="str">
            <v>Pino bruto americano</v>
          </cell>
          <cell r="C369" t="str">
            <v>p2</v>
          </cell>
          <cell r="D369">
            <v>1</v>
          </cell>
          <cell r="E369">
            <v>11.5</v>
          </cell>
          <cell r="F369">
            <v>11.5</v>
          </cell>
        </row>
        <row r="370">
          <cell r="A370" t="str">
            <v>MA01.002</v>
          </cell>
          <cell r="B370" t="str">
            <v>Pino americano tratado</v>
          </cell>
          <cell r="C370" t="str">
            <v>p2</v>
          </cell>
          <cell r="D370">
            <v>1</v>
          </cell>
          <cell r="E370">
            <v>14</v>
          </cell>
          <cell r="F370">
            <v>14</v>
          </cell>
        </row>
        <row r="371">
          <cell r="A371" t="str">
            <v>MA01.003</v>
          </cell>
          <cell r="B371" t="str">
            <v>Caoba bruta</v>
          </cell>
          <cell r="C371" t="str">
            <v>p2</v>
          </cell>
          <cell r="D371">
            <v>1</v>
          </cell>
          <cell r="E371">
            <v>36</v>
          </cell>
          <cell r="F371">
            <v>36</v>
          </cell>
        </row>
        <row r="372">
          <cell r="A372" t="str">
            <v>MA01.004</v>
          </cell>
          <cell r="B372" t="str">
            <v>Plywood  / formaleta 4' x 8' x 3/4" (Dos Caras)</v>
          </cell>
          <cell r="C372" t="str">
            <v>u</v>
          </cell>
          <cell r="D372">
            <v>1</v>
          </cell>
          <cell r="E372">
            <v>550</v>
          </cell>
          <cell r="F372">
            <v>550</v>
          </cell>
        </row>
        <row r="373">
          <cell r="A373" t="str">
            <v>MA01.005</v>
          </cell>
          <cell r="B373" t="str">
            <v xml:space="preserve">Plywood  / formaleta 4' x 8' x 3/4" </v>
          </cell>
          <cell r="C373" t="str">
            <v>u</v>
          </cell>
          <cell r="D373">
            <v>1</v>
          </cell>
          <cell r="E373">
            <v>425</v>
          </cell>
          <cell r="F373">
            <v>425</v>
          </cell>
        </row>
        <row r="374">
          <cell r="A374" t="str">
            <v>MA01.006</v>
          </cell>
          <cell r="B374" t="str">
            <v>Plywood  / formaleta 4' x 8' x 3/8"</v>
          </cell>
          <cell r="C374" t="str">
            <v>u</v>
          </cell>
          <cell r="D374">
            <v>1</v>
          </cell>
          <cell r="E374">
            <v>299</v>
          </cell>
          <cell r="F374">
            <v>299</v>
          </cell>
        </row>
        <row r="375">
          <cell r="A375" t="str">
            <v>MA01.007</v>
          </cell>
          <cell r="B375" t="str">
            <v>Pino cepillado americano</v>
          </cell>
          <cell r="C375" t="str">
            <v>p2</v>
          </cell>
          <cell r="D375">
            <v>1</v>
          </cell>
          <cell r="E375">
            <v>9.75</v>
          </cell>
          <cell r="F375">
            <v>9.75</v>
          </cell>
        </row>
        <row r="376">
          <cell r="A376" t="str">
            <v>MA01.008</v>
          </cell>
          <cell r="B376" t="str">
            <v>Pino cepillado americano Tratado</v>
          </cell>
          <cell r="C376" t="str">
            <v>p2</v>
          </cell>
          <cell r="D376">
            <v>1</v>
          </cell>
          <cell r="E376">
            <v>10.75</v>
          </cell>
          <cell r="F376">
            <v>10.75</v>
          </cell>
        </row>
        <row r="377">
          <cell r="A377" t="str">
            <v>MA02.001</v>
          </cell>
          <cell r="B377" t="str">
            <v>Clavos corrientes</v>
          </cell>
          <cell r="C377" t="str">
            <v>lb</v>
          </cell>
          <cell r="D377">
            <v>1</v>
          </cell>
          <cell r="E377">
            <v>4.95</v>
          </cell>
          <cell r="F377">
            <v>4.95</v>
          </cell>
        </row>
        <row r="378">
          <cell r="A378" t="str">
            <v>MA02.002</v>
          </cell>
          <cell r="B378" t="str">
            <v>Clavos acero</v>
          </cell>
          <cell r="C378" t="str">
            <v>lb</v>
          </cell>
          <cell r="D378">
            <v>1</v>
          </cell>
          <cell r="E378">
            <v>18</v>
          </cell>
          <cell r="F378">
            <v>18</v>
          </cell>
        </row>
        <row r="379">
          <cell r="A379" t="str">
            <v>MA02.003</v>
          </cell>
          <cell r="B379" t="str">
            <v>Clavos Zinc</v>
          </cell>
          <cell r="C379" t="str">
            <v>lb</v>
          </cell>
          <cell r="D379">
            <v>1</v>
          </cell>
          <cell r="E379">
            <v>12.95</v>
          </cell>
          <cell r="F379">
            <v>12.95</v>
          </cell>
        </row>
        <row r="380">
          <cell r="A380" t="str">
            <v>MA03.001</v>
          </cell>
          <cell r="B380" t="str">
            <v>Plancha Zinc acanalado, 3' x 6', calibre 34(p/casetas solamente)</v>
          </cell>
          <cell r="C380" t="str">
            <v>u</v>
          </cell>
          <cell r="D380">
            <v>1</v>
          </cell>
          <cell r="E380">
            <v>45.6</v>
          </cell>
          <cell r="F380">
            <v>45.6</v>
          </cell>
        </row>
        <row r="381">
          <cell r="A381" t="str">
            <v>MA03.002</v>
          </cell>
          <cell r="B381" t="str">
            <v>Plancha Zinc acanalado, 3' x 6', calibre 29</v>
          </cell>
          <cell r="C381" t="str">
            <v>u</v>
          </cell>
          <cell r="D381">
            <v>1</v>
          </cell>
          <cell r="E381">
            <v>57.6</v>
          </cell>
          <cell r="F381">
            <v>57.6</v>
          </cell>
        </row>
        <row r="382">
          <cell r="A382" t="str">
            <v>MA03.003</v>
          </cell>
          <cell r="B382" t="str">
            <v>Plancha Zinc acanalado, 3' x 6', calibre 27</v>
          </cell>
          <cell r="C382" t="str">
            <v>u</v>
          </cell>
          <cell r="D382">
            <v>1</v>
          </cell>
          <cell r="E382">
            <v>68.400000000000006</v>
          </cell>
          <cell r="F382">
            <v>68.400000000000006</v>
          </cell>
        </row>
        <row r="383">
          <cell r="A383" t="str">
            <v>MA03.004</v>
          </cell>
          <cell r="B383" t="str">
            <v>Plancha Zinc acanalado, 3' x 6', calibre 26</v>
          </cell>
          <cell r="C383" t="str">
            <v>u</v>
          </cell>
          <cell r="D383">
            <v>1</v>
          </cell>
          <cell r="E383">
            <v>82.8</v>
          </cell>
          <cell r="F383">
            <v>82.8</v>
          </cell>
        </row>
        <row r="384">
          <cell r="A384" t="str">
            <v>MA03.005</v>
          </cell>
          <cell r="B384" t="str">
            <v>Plancha Zinc acanalado, 3' x 6', calibre 24</v>
          </cell>
          <cell r="C384" t="str">
            <v>u</v>
          </cell>
          <cell r="D384">
            <v>1</v>
          </cell>
          <cell r="E384">
            <v>152</v>
          </cell>
          <cell r="F384">
            <v>152</v>
          </cell>
        </row>
        <row r="385">
          <cell r="A385" t="str">
            <v>MA03.006</v>
          </cell>
          <cell r="B385" t="str">
            <v>Caballete de Zinc de 3', calibre 34</v>
          </cell>
          <cell r="C385" t="str">
            <v>u</v>
          </cell>
          <cell r="D385">
            <v>1</v>
          </cell>
          <cell r="E385">
            <v>19.899999999999999</v>
          </cell>
          <cell r="F385">
            <v>19.899999999999999</v>
          </cell>
        </row>
        <row r="386">
          <cell r="A386" t="str">
            <v>MA03.007</v>
          </cell>
          <cell r="B386" t="str">
            <v>Caballete de Zinc de 3', calibre 29</v>
          </cell>
          <cell r="C386" t="str">
            <v>u</v>
          </cell>
          <cell r="D386">
            <v>1</v>
          </cell>
          <cell r="E386">
            <v>28.55</v>
          </cell>
          <cell r="F386">
            <v>28.55</v>
          </cell>
        </row>
        <row r="387">
          <cell r="A387" t="str">
            <v>MA04.001</v>
          </cell>
          <cell r="B387" t="str">
            <v>Regla para Empañete (preparada)</v>
          </cell>
          <cell r="C387" t="str">
            <v>p2</v>
          </cell>
          <cell r="D387">
            <v>1</v>
          </cell>
          <cell r="E387">
            <v>29</v>
          </cell>
          <cell r="F387">
            <v>29</v>
          </cell>
        </row>
        <row r="388">
          <cell r="A388" t="str">
            <v>MA05.001</v>
          </cell>
          <cell r="B388" t="str">
            <v>Disco de Lija #80</v>
          </cell>
          <cell r="C388" t="str">
            <v>ud</v>
          </cell>
          <cell r="D388">
            <v>1</v>
          </cell>
          <cell r="E388">
            <v>11.5</v>
          </cell>
          <cell r="F388">
            <v>11.5</v>
          </cell>
        </row>
        <row r="389">
          <cell r="A389" t="str">
            <v>MC</v>
          </cell>
          <cell r="B389" t="str">
            <v>MALLAS CICLONICAS</v>
          </cell>
          <cell r="D389" t="str">
            <v/>
          </cell>
          <cell r="F389" t="str">
            <v/>
          </cell>
        </row>
        <row r="390">
          <cell r="A390" t="str">
            <v>MC01.001</v>
          </cell>
          <cell r="B390" t="str">
            <v>Malla ciclónica corriente 6' calibre 9 (Rollo 50' )</v>
          </cell>
          <cell r="C390" t="str">
            <v>u</v>
          </cell>
          <cell r="D390">
            <v>1</v>
          </cell>
          <cell r="E390">
            <v>1087</v>
          </cell>
          <cell r="F390">
            <v>1087</v>
          </cell>
        </row>
        <row r="391">
          <cell r="A391" t="str">
            <v>MC01.002</v>
          </cell>
          <cell r="B391" t="str">
            <v>Malla ciclónica corriente 7' calibre 9 (Rollo 50' )</v>
          </cell>
          <cell r="C391" t="str">
            <v>u</v>
          </cell>
          <cell r="D391">
            <v>1</v>
          </cell>
          <cell r="E391">
            <v>1232</v>
          </cell>
          <cell r="F391">
            <v>1232</v>
          </cell>
        </row>
        <row r="392">
          <cell r="A392" t="str">
            <v>MC01.003</v>
          </cell>
          <cell r="B392" t="str">
            <v>Tubo galvanizado ligero de 1 1/2" x 15"</v>
          </cell>
          <cell r="C392" t="str">
            <v>u</v>
          </cell>
          <cell r="D392">
            <v>1</v>
          </cell>
          <cell r="E392">
            <v>155</v>
          </cell>
          <cell r="F392">
            <v>155</v>
          </cell>
        </row>
        <row r="393">
          <cell r="A393" t="str">
            <v>MC01.004</v>
          </cell>
          <cell r="B393" t="str">
            <v>Tubo galvanizado ligero de 1 1/4" x 20"</v>
          </cell>
          <cell r="C393" t="str">
            <v>u</v>
          </cell>
          <cell r="D393">
            <v>1</v>
          </cell>
          <cell r="E393">
            <v>182</v>
          </cell>
          <cell r="F393">
            <v>182</v>
          </cell>
        </row>
        <row r="394">
          <cell r="A394" t="str">
            <v>MC01.005</v>
          </cell>
          <cell r="B394" t="str">
            <v>Barra tensora de 6'</v>
          </cell>
          <cell r="C394" t="str">
            <v>u</v>
          </cell>
          <cell r="D394">
            <v>1</v>
          </cell>
          <cell r="E394">
            <v>30</v>
          </cell>
          <cell r="F394">
            <v>30</v>
          </cell>
        </row>
        <row r="395">
          <cell r="A395" t="str">
            <v>MC01.006</v>
          </cell>
          <cell r="B395" t="str">
            <v>Abrazadera de 1 1/2"</v>
          </cell>
          <cell r="C395" t="str">
            <v>u</v>
          </cell>
          <cell r="D395">
            <v>1</v>
          </cell>
          <cell r="E395">
            <v>6</v>
          </cell>
          <cell r="F395">
            <v>6</v>
          </cell>
        </row>
        <row r="396">
          <cell r="A396" t="str">
            <v>MC01.007</v>
          </cell>
          <cell r="B396" t="str">
            <v>Copa Final de 1 1/2"</v>
          </cell>
          <cell r="C396" t="str">
            <v>u</v>
          </cell>
          <cell r="D396">
            <v>1</v>
          </cell>
          <cell r="E396">
            <v>6.05</v>
          </cell>
          <cell r="F396">
            <v>6.05</v>
          </cell>
        </row>
        <row r="397">
          <cell r="A397" t="str">
            <v>MC01.008</v>
          </cell>
          <cell r="B397" t="str">
            <v>Terminal de 1 1/4"</v>
          </cell>
          <cell r="C397" t="str">
            <v>u</v>
          </cell>
          <cell r="D397">
            <v>1</v>
          </cell>
          <cell r="E397">
            <v>7</v>
          </cell>
          <cell r="F397">
            <v>7</v>
          </cell>
        </row>
        <row r="398">
          <cell r="A398" t="str">
            <v>MC01.009</v>
          </cell>
          <cell r="B398" t="str">
            <v>Palometa 1 1/2" para tres cuerdas, sencilla</v>
          </cell>
          <cell r="C398" t="str">
            <v>u</v>
          </cell>
          <cell r="D398">
            <v>1</v>
          </cell>
          <cell r="E398">
            <v>25</v>
          </cell>
          <cell r="F398">
            <v>25</v>
          </cell>
        </row>
        <row r="399">
          <cell r="A399" t="str">
            <v>MC01.010</v>
          </cell>
          <cell r="B399" t="str">
            <v>Palometa 1 1/2" para tres cuerdas, doble</v>
          </cell>
          <cell r="C399" t="str">
            <v>u</v>
          </cell>
          <cell r="D399">
            <v>1</v>
          </cell>
          <cell r="E399">
            <v>30</v>
          </cell>
          <cell r="F399">
            <v>30</v>
          </cell>
        </row>
        <row r="400">
          <cell r="A400" t="str">
            <v>MC01.011</v>
          </cell>
          <cell r="B400" t="str">
            <v>Rollo alambre de púas calibre 16 x 110 m.</v>
          </cell>
          <cell r="C400" t="str">
            <v>u</v>
          </cell>
          <cell r="D400">
            <v>1</v>
          </cell>
          <cell r="E400">
            <v>94</v>
          </cell>
          <cell r="F400">
            <v>94</v>
          </cell>
        </row>
        <row r="401">
          <cell r="A401" t="str">
            <v>MC01.012</v>
          </cell>
          <cell r="B401" t="str">
            <v>Rollo alambre de púas calibre 14 x 110 m.</v>
          </cell>
          <cell r="C401" t="str">
            <v>u</v>
          </cell>
          <cell r="D401">
            <v>1</v>
          </cell>
          <cell r="E401">
            <v>183</v>
          </cell>
          <cell r="F401">
            <v>183</v>
          </cell>
        </row>
        <row r="402">
          <cell r="A402" t="str">
            <v>MC01.013</v>
          </cell>
          <cell r="B402" t="str">
            <v>Grapas para alambre de púas.</v>
          </cell>
          <cell r="C402" t="str">
            <v>lb</v>
          </cell>
          <cell r="D402">
            <v>1</v>
          </cell>
          <cell r="E402">
            <v>7</v>
          </cell>
          <cell r="F402">
            <v>7</v>
          </cell>
        </row>
        <row r="403">
          <cell r="A403" t="str">
            <v>MC01.014</v>
          </cell>
          <cell r="B403" t="str">
            <v>Colocación de malla ciclónica de 6' (mano de obra solamente)</v>
          </cell>
          <cell r="C403" t="str">
            <v>m</v>
          </cell>
          <cell r="D403">
            <v>1</v>
          </cell>
          <cell r="E403">
            <v>125</v>
          </cell>
          <cell r="F403">
            <v>125</v>
          </cell>
        </row>
        <row r="404">
          <cell r="A404" t="str">
            <v>MC01.015</v>
          </cell>
          <cell r="B404" t="str">
            <v>Colocación de malla ciclónica de 7' (mano de obra solamente)</v>
          </cell>
          <cell r="C404" t="str">
            <v>m</v>
          </cell>
          <cell r="D404">
            <v>1</v>
          </cell>
          <cell r="E404">
            <v>150</v>
          </cell>
          <cell r="F404">
            <v>150</v>
          </cell>
        </row>
        <row r="405">
          <cell r="A405" t="str">
            <v>OT</v>
          </cell>
          <cell r="B405" t="str">
            <v>OTROS</v>
          </cell>
        </row>
        <row r="406">
          <cell r="A406" t="str">
            <v>OT01.001</v>
          </cell>
          <cell r="B406" t="str">
            <v>Hilo de Nylon 1 lbr</v>
          </cell>
          <cell r="C406" t="str">
            <v>ud</v>
          </cell>
          <cell r="D406">
            <v>1</v>
          </cell>
          <cell r="E406">
            <v>60</v>
          </cell>
          <cell r="F406">
            <v>60</v>
          </cell>
        </row>
        <row r="407">
          <cell r="A407" t="str">
            <v>OT01.002</v>
          </cell>
          <cell r="B407" t="str">
            <v>Cubo de goma #10</v>
          </cell>
          <cell r="C407" t="str">
            <v>ud</v>
          </cell>
          <cell r="D407">
            <v>1</v>
          </cell>
          <cell r="E407">
            <v>52</v>
          </cell>
          <cell r="F407">
            <v>52</v>
          </cell>
        </row>
        <row r="408">
          <cell r="A408" t="str">
            <v>OT01.003</v>
          </cell>
          <cell r="B408" t="str">
            <v>Cubo de goma #8</v>
          </cell>
          <cell r="C408" t="str">
            <v>ud</v>
          </cell>
          <cell r="D408">
            <v>1</v>
          </cell>
          <cell r="E408">
            <v>45</v>
          </cell>
          <cell r="F408">
            <v>45</v>
          </cell>
        </row>
        <row r="409">
          <cell r="A409" t="str">
            <v>OT01.004</v>
          </cell>
          <cell r="B409" t="str">
            <v>Escoba plástica para hojas, tipo EAGLE</v>
          </cell>
          <cell r="C409" t="str">
            <v>ud</v>
          </cell>
          <cell r="D409">
            <v>1</v>
          </cell>
          <cell r="E409">
            <v>73</v>
          </cell>
          <cell r="F409">
            <v>73</v>
          </cell>
        </row>
        <row r="410">
          <cell r="A410" t="str">
            <v>OT01.005</v>
          </cell>
          <cell r="B410" t="str">
            <v>Pala cuadrada "Tramontina"</v>
          </cell>
          <cell r="C410" t="str">
            <v>ud</v>
          </cell>
          <cell r="D410">
            <v>1</v>
          </cell>
          <cell r="E410">
            <v>85</v>
          </cell>
          <cell r="F410">
            <v>85</v>
          </cell>
        </row>
        <row r="411">
          <cell r="A411" t="str">
            <v>OT01.006</v>
          </cell>
          <cell r="B411" t="str">
            <v>Pala redonda "Tramontina"</v>
          </cell>
          <cell r="C411" t="str">
            <v>ud</v>
          </cell>
          <cell r="D411">
            <v>1</v>
          </cell>
          <cell r="E411">
            <v>81</v>
          </cell>
          <cell r="F411">
            <v>81</v>
          </cell>
        </row>
        <row r="412">
          <cell r="A412" t="str">
            <v>OT01.007</v>
          </cell>
          <cell r="B412" t="str">
            <v>Rastrillo para piedras , 14 dientes, USA</v>
          </cell>
          <cell r="C412" t="str">
            <v>ud</v>
          </cell>
          <cell r="D412">
            <v>1</v>
          </cell>
          <cell r="E412">
            <v>335</v>
          </cell>
          <cell r="F412">
            <v>335</v>
          </cell>
        </row>
        <row r="413">
          <cell r="A413" t="str">
            <v>OT01.008</v>
          </cell>
          <cell r="B413" t="str">
            <v>Carretilla de Metal "JEEP", "BRONCO", Taiwan</v>
          </cell>
          <cell r="C413" t="str">
            <v>ud</v>
          </cell>
          <cell r="D413">
            <v>1</v>
          </cell>
          <cell r="E413">
            <v>1160</v>
          </cell>
          <cell r="F413">
            <v>1160</v>
          </cell>
        </row>
        <row r="414">
          <cell r="A414" t="str">
            <v>OT02.001</v>
          </cell>
          <cell r="B414" t="str">
            <v>Gasolina</v>
          </cell>
          <cell r="C414" t="str">
            <v>gl</v>
          </cell>
          <cell r="D414">
            <v>1</v>
          </cell>
          <cell r="E414">
            <v>26</v>
          </cell>
          <cell r="F414">
            <v>26</v>
          </cell>
        </row>
        <row r="415">
          <cell r="A415" t="str">
            <v>OT02.002</v>
          </cell>
          <cell r="B415" t="str">
            <v>Gasoil</v>
          </cell>
          <cell r="C415" t="str">
            <v>gl</v>
          </cell>
          <cell r="D415">
            <v>1</v>
          </cell>
          <cell r="E415">
            <v>16.100000000000001</v>
          </cell>
          <cell r="F415">
            <v>16.100000000000001</v>
          </cell>
        </row>
        <row r="416">
          <cell r="A416" t="str">
            <v>OT02.003</v>
          </cell>
          <cell r="B416" t="str">
            <v>Lubricantes</v>
          </cell>
          <cell r="C416" t="str">
            <v>1/4 gl</v>
          </cell>
          <cell r="D416">
            <v>1</v>
          </cell>
          <cell r="E416">
            <v>30</v>
          </cell>
          <cell r="F416">
            <v>30</v>
          </cell>
        </row>
        <row r="417">
          <cell r="A417" t="str">
            <v>TP</v>
          </cell>
          <cell r="B417" t="str">
            <v>TUBERIAS Y PIEZAS</v>
          </cell>
          <cell r="D417" t="str">
            <v/>
          </cell>
          <cell r="F417" t="str">
            <v/>
          </cell>
        </row>
        <row r="418">
          <cell r="A418" t="str">
            <v>TP01.</v>
          </cell>
          <cell r="B418" t="str">
            <v>Tuberías y Piezas PVC Drenaje</v>
          </cell>
          <cell r="D418" t="str">
            <v/>
          </cell>
          <cell r="F418" t="str">
            <v/>
          </cell>
        </row>
        <row r="419">
          <cell r="A419" t="str">
            <v>TP01.001</v>
          </cell>
          <cell r="B419" t="str">
            <v>Tubo de 1 1/2" x 20' PVC Drenaje</v>
          </cell>
          <cell r="C419" t="str">
            <v>u</v>
          </cell>
          <cell r="D419">
            <v>1</v>
          </cell>
          <cell r="E419">
            <v>38.549999999999997</v>
          </cell>
          <cell r="F419">
            <v>38.549999999999997</v>
          </cell>
        </row>
        <row r="420">
          <cell r="A420" t="str">
            <v>TP01.002</v>
          </cell>
          <cell r="B420" t="str">
            <v>Tubo de 2" x 20' PVC Drenaje</v>
          </cell>
          <cell r="C420" t="str">
            <v>u</v>
          </cell>
          <cell r="D420">
            <v>1</v>
          </cell>
          <cell r="E420">
            <v>46</v>
          </cell>
          <cell r="F420">
            <v>46</v>
          </cell>
        </row>
        <row r="421">
          <cell r="A421" t="str">
            <v>TP01.003</v>
          </cell>
          <cell r="B421" t="str">
            <v>Tubo de 3" x 20' PVC Drenaje</v>
          </cell>
          <cell r="C421" t="str">
            <v>u</v>
          </cell>
          <cell r="D421">
            <v>1</v>
          </cell>
          <cell r="E421">
            <v>73.5</v>
          </cell>
          <cell r="F421">
            <v>73.5</v>
          </cell>
        </row>
        <row r="422">
          <cell r="A422" t="str">
            <v>TP01.004</v>
          </cell>
          <cell r="B422" t="str">
            <v>Tubo de 4" x 20' PVC Drenaje</v>
          </cell>
          <cell r="C422" t="str">
            <v>u</v>
          </cell>
          <cell r="D422">
            <v>1</v>
          </cell>
          <cell r="E422">
            <v>96</v>
          </cell>
          <cell r="F422">
            <v>96</v>
          </cell>
        </row>
        <row r="423">
          <cell r="A423" t="str">
            <v>TP01.005</v>
          </cell>
          <cell r="B423" t="str">
            <v>Tubo de 6" x 20' PVC Drenaje</v>
          </cell>
          <cell r="C423" t="str">
            <v>u</v>
          </cell>
          <cell r="D423">
            <v>1</v>
          </cell>
          <cell r="E423">
            <v>299.5</v>
          </cell>
          <cell r="F423">
            <v>299.5</v>
          </cell>
        </row>
        <row r="424">
          <cell r="A424" t="str">
            <v>TP01.006</v>
          </cell>
          <cell r="B424" t="str">
            <v>Tubo de 2" x 20' PVC SDR-41</v>
          </cell>
          <cell r="C424" t="str">
            <v>u</v>
          </cell>
          <cell r="D424">
            <v>1</v>
          </cell>
          <cell r="E424">
            <v>79</v>
          </cell>
          <cell r="F424">
            <v>79</v>
          </cell>
        </row>
        <row r="425">
          <cell r="A425" t="str">
            <v>TP01.007</v>
          </cell>
          <cell r="B425" t="str">
            <v>Tubo de 3" x 20' PVC SDR-41</v>
          </cell>
          <cell r="C425" t="str">
            <v>u</v>
          </cell>
          <cell r="D425">
            <v>1</v>
          </cell>
          <cell r="E425">
            <v>140</v>
          </cell>
          <cell r="F425">
            <v>140</v>
          </cell>
        </row>
        <row r="426">
          <cell r="A426" t="str">
            <v>TP01.008</v>
          </cell>
          <cell r="B426" t="str">
            <v>Tubo de 4" x 20' PVC SDR-41</v>
          </cell>
          <cell r="C426" t="str">
            <v>u</v>
          </cell>
          <cell r="D426">
            <v>1</v>
          </cell>
          <cell r="E426">
            <v>223</v>
          </cell>
          <cell r="F426">
            <v>223</v>
          </cell>
        </row>
        <row r="427">
          <cell r="A427" t="str">
            <v>TP01.009</v>
          </cell>
          <cell r="B427" t="str">
            <v>Tubo de 6" x 20' PVC SDR-41</v>
          </cell>
          <cell r="C427" t="str">
            <v>u</v>
          </cell>
          <cell r="D427">
            <v>1</v>
          </cell>
          <cell r="E427">
            <v>503</v>
          </cell>
          <cell r="F427">
            <v>503</v>
          </cell>
        </row>
        <row r="428">
          <cell r="A428" t="str">
            <v>TP01.010</v>
          </cell>
          <cell r="B428" t="str">
            <v>Tubo de 2" x 20' PVC SDR-26</v>
          </cell>
          <cell r="C428" t="str">
            <v>u</v>
          </cell>
          <cell r="D428">
            <v>1</v>
          </cell>
          <cell r="E428">
            <v>98.5</v>
          </cell>
          <cell r="F428">
            <v>98.5</v>
          </cell>
        </row>
        <row r="429">
          <cell r="A429" t="str">
            <v>TP01.011</v>
          </cell>
          <cell r="B429" t="str">
            <v>Tubo de 3" x 20' PVC SDR-26</v>
          </cell>
          <cell r="C429" t="str">
            <v>u</v>
          </cell>
          <cell r="D429">
            <v>1</v>
          </cell>
          <cell r="E429">
            <v>233</v>
          </cell>
          <cell r="F429">
            <v>233</v>
          </cell>
        </row>
        <row r="430">
          <cell r="A430" t="str">
            <v>TP01.012</v>
          </cell>
          <cell r="B430" t="str">
            <v>Tubo de 4" x 20' PVC SDR-26</v>
          </cell>
          <cell r="C430" t="str">
            <v>u</v>
          </cell>
          <cell r="D430">
            <v>1</v>
          </cell>
          <cell r="E430">
            <v>363</v>
          </cell>
          <cell r="F430">
            <v>363</v>
          </cell>
        </row>
        <row r="431">
          <cell r="A431" t="str">
            <v>TP01.013</v>
          </cell>
          <cell r="B431" t="str">
            <v>Tubo de 6" x 20' PVC SDR-26</v>
          </cell>
          <cell r="C431" t="str">
            <v>u</v>
          </cell>
          <cell r="D431">
            <v>1</v>
          </cell>
          <cell r="E431">
            <v>761</v>
          </cell>
          <cell r="F431">
            <v>761</v>
          </cell>
        </row>
        <row r="432">
          <cell r="A432" t="str">
            <v>TP01.014</v>
          </cell>
          <cell r="B432" t="str">
            <v>Codo de 2" x 90 Drenaje</v>
          </cell>
          <cell r="C432" t="str">
            <v>u</v>
          </cell>
          <cell r="D432">
            <v>1</v>
          </cell>
          <cell r="E432">
            <v>8.6999999999999993</v>
          </cell>
          <cell r="F432">
            <v>8.6999999999999993</v>
          </cell>
        </row>
        <row r="433">
          <cell r="A433" t="str">
            <v>TP01.015</v>
          </cell>
          <cell r="B433" t="str">
            <v>Codo de 3" x 90 Drenaje</v>
          </cell>
          <cell r="C433" t="str">
            <v>u</v>
          </cell>
          <cell r="D433">
            <v>1</v>
          </cell>
          <cell r="E433">
            <v>20</v>
          </cell>
          <cell r="F433">
            <v>20</v>
          </cell>
        </row>
        <row r="434">
          <cell r="A434" t="str">
            <v>TP01.016</v>
          </cell>
          <cell r="B434" t="str">
            <v>Codo de 4" x 90 Drenaje</v>
          </cell>
          <cell r="C434" t="str">
            <v>u</v>
          </cell>
          <cell r="D434">
            <v>1</v>
          </cell>
          <cell r="E434">
            <v>31.75</v>
          </cell>
          <cell r="F434">
            <v>31.75</v>
          </cell>
        </row>
        <row r="435">
          <cell r="A435" t="str">
            <v>TP01.017</v>
          </cell>
          <cell r="B435" t="str">
            <v>Codo de 6" x 90 Drenaje</v>
          </cell>
          <cell r="C435" t="str">
            <v>u</v>
          </cell>
          <cell r="D435">
            <v>1</v>
          </cell>
          <cell r="E435">
            <v>260</v>
          </cell>
          <cell r="F435">
            <v>260</v>
          </cell>
        </row>
        <row r="436">
          <cell r="A436" t="str">
            <v>TP01.018</v>
          </cell>
          <cell r="B436" t="str">
            <v>Codo de 2" x 45 Drenaje</v>
          </cell>
          <cell r="C436" t="str">
            <v>u</v>
          </cell>
          <cell r="D436">
            <v>1</v>
          </cell>
          <cell r="E436">
            <v>7</v>
          </cell>
          <cell r="F436">
            <v>7</v>
          </cell>
        </row>
        <row r="437">
          <cell r="A437" t="str">
            <v>TP01.019</v>
          </cell>
          <cell r="B437" t="str">
            <v>Codo de 3" x 45 Drenaje</v>
          </cell>
          <cell r="C437" t="str">
            <v>u</v>
          </cell>
          <cell r="D437">
            <v>1</v>
          </cell>
          <cell r="E437">
            <v>15</v>
          </cell>
          <cell r="F437">
            <v>15</v>
          </cell>
        </row>
        <row r="438">
          <cell r="A438" t="str">
            <v>TP01.020</v>
          </cell>
          <cell r="B438" t="str">
            <v>Codo de 4" x 45 Drenaje</v>
          </cell>
          <cell r="C438" t="str">
            <v>u</v>
          </cell>
          <cell r="D438">
            <v>1</v>
          </cell>
          <cell r="E438">
            <v>25</v>
          </cell>
          <cell r="F438">
            <v>25</v>
          </cell>
        </row>
        <row r="439">
          <cell r="A439" t="str">
            <v>TP01.021</v>
          </cell>
          <cell r="B439" t="str">
            <v>Codo de 6" x 45 Drenaje</v>
          </cell>
          <cell r="C439" t="str">
            <v>u</v>
          </cell>
          <cell r="D439">
            <v>1</v>
          </cell>
          <cell r="E439">
            <v>260</v>
          </cell>
          <cell r="F439">
            <v>260</v>
          </cell>
        </row>
        <row r="440">
          <cell r="A440" t="str">
            <v>TP01.022</v>
          </cell>
          <cell r="B440" t="str">
            <v>Yee de 2" PVC Drenaje</v>
          </cell>
          <cell r="C440" t="str">
            <v>u</v>
          </cell>
          <cell r="D440">
            <v>1</v>
          </cell>
          <cell r="E440">
            <v>16</v>
          </cell>
          <cell r="F440">
            <v>16</v>
          </cell>
        </row>
        <row r="441">
          <cell r="A441" t="str">
            <v>TP01.023</v>
          </cell>
          <cell r="B441" t="str">
            <v>Yee de 3" PVC Drenaje</v>
          </cell>
          <cell r="C441" t="str">
            <v>u</v>
          </cell>
          <cell r="D441">
            <v>1</v>
          </cell>
          <cell r="E441">
            <v>33</v>
          </cell>
          <cell r="F441">
            <v>33</v>
          </cell>
        </row>
        <row r="442">
          <cell r="A442" t="str">
            <v>TP01.024</v>
          </cell>
          <cell r="B442" t="str">
            <v>Yee de 4" PVC Drenaje</v>
          </cell>
          <cell r="C442" t="str">
            <v>u</v>
          </cell>
          <cell r="D442">
            <v>1</v>
          </cell>
          <cell r="E442">
            <v>55</v>
          </cell>
          <cell r="F442">
            <v>55</v>
          </cell>
        </row>
        <row r="443">
          <cell r="A443" t="str">
            <v>TP01.025</v>
          </cell>
          <cell r="B443" t="str">
            <v>Yee de 6" PVC Drenaje</v>
          </cell>
          <cell r="C443" t="str">
            <v>u</v>
          </cell>
          <cell r="D443">
            <v>1</v>
          </cell>
          <cell r="E443">
            <v>526</v>
          </cell>
          <cell r="F443">
            <v>526</v>
          </cell>
        </row>
        <row r="444">
          <cell r="A444" t="str">
            <v>TP01.026</v>
          </cell>
          <cell r="B444" t="str">
            <v>Yee reducción, de 3" a 2" PVC Drenaje</v>
          </cell>
          <cell r="C444" t="str">
            <v>u</v>
          </cell>
          <cell r="D444">
            <v>1</v>
          </cell>
          <cell r="E444">
            <v>25</v>
          </cell>
          <cell r="F444">
            <v>25</v>
          </cell>
        </row>
        <row r="445">
          <cell r="A445" t="str">
            <v>TP01.027</v>
          </cell>
          <cell r="B445" t="str">
            <v>Yee reducción, de 4" a 3" PVC Drenaje</v>
          </cell>
          <cell r="C445" t="str">
            <v>u</v>
          </cell>
          <cell r="D445">
            <v>1</v>
          </cell>
          <cell r="E445">
            <v>70</v>
          </cell>
          <cell r="F445">
            <v>70</v>
          </cell>
        </row>
        <row r="446">
          <cell r="A446" t="str">
            <v>TP01.028</v>
          </cell>
          <cell r="B446" t="str">
            <v>Yee reducción, de 4" a 2" PVC Drenaje</v>
          </cell>
          <cell r="C446" t="str">
            <v>u</v>
          </cell>
          <cell r="D446">
            <v>1</v>
          </cell>
          <cell r="E446">
            <v>32</v>
          </cell>
          <cell r="F446">
            <v>32</v>
          </cell>
        </row>
        <row r="447">
          <cell r="A447" t="str">
            <v>TP01.029</v>
          </cell>
          <cell r="B447" t="str">
            <v>Yee reducción, de 6" a 4" PVC Drenaje</v>
          </cell>
          <cell r="C447" t="str">
            <v>u</v>
          </cell>
          <cell r="D447">
            <v>1</v>
          </cell>
          <cell r="E447">
            <v>300</v>
          </cell>
          <cell r="F447">
            <v>300</v>
          </cell>
        </row>
        <row r="448">
          <cell r="A448" t="str">
            <v>TP01.030</v>
          </cell>
          <cell r="B448" t="str">
            <v>Tee de 2" PVC Drenaje</v>
          </cell>
          <cell r="C448" t="str">
            <v>u</v>
          </cell>
          <cell r="D448">
            <v>1</v>
          </cell>
          <cell r="E448">
            <v>14.5</v>
          </cell>
          <cell r="F448">
            <v>14.5</v>
          </cell>
        </row>
        <row r="449">
          <cell r="A449" t="str">
            <v>TP01.031</v>
          </cell>
          <cell r="B449" t="str">
            <v>Tee de 3" PVC Drenaje</v>
          </cell>
          <cell r="C449" t="str">
            <v>u</v>
          </cell>
          <cell r="D449">
            <v>1</v>
          </cell>
          <cell r="E449">
            <v>31</v>
          </cell>
          <cell r="F449">
            <v>31</v>
          </cell>
        </row>
        <row r="450">
          <cell r="A450" t="str">
            <v>TP01.032</v>
          </cell>
          <cell r="B450" t="str">
            <v>Tee de 4" PVC Drenaje</v>
          </cell>
          <cell r="C450" t="str">
            <v>u</v>
          </cell>
          <cell r="D450">
            <v>1</v>
          </cell>
          <cell r="E450">
            <v>50</v>
          </cell>
          <cell r="F450">
            <v>50</v>
          </cell>
        </row>
        <row r="451">
          <cell r="A451" t="str">
            <v>TP01.033</v>
          </cell>
          <cell r="B451" t="str">
            <v>Tee de 6" PVC Drenaje</v>
          </cell>
          <cell r="C451" t="str">
            <v>u</v>
          </cell>
          <cell r="D451">
            <v>1</v>
          </cell>
          <cell r="E451">
            <v>310</v>
          </cell>
          <cell r="F451">
            <v>310</v>
          </cell>
        </row>
        <row r="452">
          <cell r="A452" t="str">
            <v>TP01.034</v>
          </cell>
          <cell r="B452" t="str">
            <v>Tee reducción, de 3" a 2" PVC Drenaje</v>
          </cell>
          <cell r="C452" t="str">
            <v>u</v>
          </cell>
          <cell r="D452">
            <v>1</v>
          </cell>
          <cell r="E452">
            <v>18.75</v>
          </cell>
          <cell r="F452">
            <v>18.75</v>
          </cell>
        </row>
        <row r="453">
          <cell r="A453" t="str">
            <v>TP01.035</v>
          </cell>
          <cell r="B453" t="str">
            <v>Tee reducción, de 4" a 3" PVC Drenaje</v>
          </cell>
          <cell r="C453" t="str">
            <v>u</v>
          </cell>
          <cell r="D453">
            <v>1</v>
          </cell>
          <cell r="E453">
            <v>73</v>
          </cell>
          <cell r="F453">
            <v>73</v>
          </cell>
        </row>
        <row r="454">
          <cell r="A454" t="str">
            <v>TP01.036</v>
          </cell>
          <cell r="B454" t="str">
            <v>Tee reducción, de 4" a 2" PVC Drenaje</v>
          </cell>
          <cell r="C454" t="str">
            <v>u</v>
          </cell>
          <cell r="D454">
            <v>1</v>
          </cell>
          <cell r="E454">
            <v>32</v>
          </cell>
          <cell r="F454">
            <v>32</v>
          </cell>
        </row>
        <row r="455">
          <cell r="A455" t="str">
            <v>TP01.037</v>
          </cell>
          <cell r="B455" t="str">
            <v>Tee reducción, de 6" a 3" PVC Drenaje</v>
          </cell>
          <cell r="C455" t="str">
            <v>u</v>
          </cell>
          <cell r="D455">
            <v>1</v>
          </cell>
          <cell r="E455">
            <v>265</v>
          </cell>
          <cell r="F455">
            <v>265</v>
          </cell>
        </row>
        <row r="456">
          <cell r="A456" t="str">
            <v>TP01.038</v>
          </cell>
          <cell r="B456" t="str">
            <v>Tee reducción, de 6" a 4" PVC Drenaje</v>
          </cell>
          <cell r="C456" t="str">
            <v>u</v>
          </cell>
          <cell r="D456">
            <v>1</v>
          </cell>
          <cell r="E456">
            <v>265</v>
          </cell>
          <cell r="F456">
            <v>265</v>
          </cell>
        </row>
        <row r="457">
          <cell r="A457" t="str">
            <v>TP01.039</v>
          </cell>
          <cell r="B457" t="str">
            <v>Tapón Registro de 2" PVC Drenaje</v>
          </cell>
          <cell r="C457" t="str">
            <v>u</v>
          </cell>
          <cell r="D457">
            <v>1</v>
          </cell>
          <cell r="E457">
            <v>25</v>
          </cell>
          <cell r="F457">
            <v>25</v>
          </cell>
        </row>
        <row r="458">
          <cell r="A458" t="str">
            <v>TP01.040</v>
          </cell>
          <cell r="B458" t="str">
            <v>Tapón Registro de 3" PVC Drenaje</v>
          </cell>
          <cell r="C458" t="str">
            <v>u</v>
          </cell>
          <cell r="D458">
            <v>1</v>
          </cell>
          <cell r="E458">
            <v>55</v>
          </cell>
          <cell r="F458">
            <v>55</v>
          </cell>
        </row>
        <row r="459">
          <cell r="A459" t="str">
            <v>TP01.041</v>
          </cell>
          <cell r="B459" t="str">
            <v>Tapón Registro de 4" PVC Drenaje</v>
          </cell>
          <cell r="C459" t="str">
            <v>u</v>
          </cell>
          <cell r="D459">
            <v>1</v>
          </cell>
          <cell r="E459">
            <v>60</v>
          </cell>
          <cell r="F459">
            <v>60</v>
          </cell>
        </row>
        <row r="460">
          <cell r="A460" t="str">
            <v>TP01.042</v>
          </cell>
          <cell r="B460" t="str">
            <v>Sifón de 1 1/2", PVC</v>
          </cell>
          <cell r="C460" t="str">
            <v>u</v>
          </cell>
          <cell r="D460">
            <v>1</v>
          </cell>
          <cell r="E460">
            <v>41.9</v>
          </cell>
          <cell r="F460">
            <v>41.9</v>
          </cell>
        </row>
        <row r="461">
          <cell r="A461" t="str">
            <v>TP01.043</v>
          </cell>
          <cell r="B461" t="str">
            <v>Sifón de 2", PVC</v>
          </cell>
          <cell r="C461" t="str">
            <v>u</v>
          </cell>
          <cell r="D461">
            <v>1</v>
          </cell>
          <cell r="E461">
            <v>30</v>
          </cell>
          <cell r="F461">
            <v>30</v>
          </cell>
        </row>
        <row r="462">
          <cell r="A462" t="str">
            <v>TP01.044</v>
          </cell>
          <cell r="B462" t="str">
            <v>Sifón de 3", PVC</v>
          </cell>
          <cell r="C462" t="str">
            <v>u</v>
          </cell>
          <cell r="D462">
            <v>1</v>
          </cell>
          <cell r="E462">
            <v>110</v>
          </cell>
          <cell r="F462">
            <v>110</v>
          </cell>
        </row>
        <row r="463">
          <cell r="A463" t="str">
            <v>TP01.045</v>
          </cell>
          <cell r="B463" t="str">
            <v>Sifón de 4", PVC</v>
          </cell>
          <cell r="C463" t="str">
            <v>u</v>
          </cell>
          <cell r="D463">
            <v>1</v>
          </cell>
          <cell r="E463">
            <v>130</v>
          </cell>
          <cell r="F463">
            <v>130</v>
          </cell>
        </row>
        <row r="464">
          <cell r="A464" t="str">
            <v>TP01.046</v>
          </cell>
          <cell r="B464" t="str">
            <v>Reducción de 3" a 1 1/2" PVC Drenaje</v>
          </cell>
          <cell r="C464" t="str">
            <v>u</v>
          </cell>
          <cell r="D464">
            <v>1</v>
          </cell>
          <cell r="E464">
            <v>15.5</v>
          </cell>
          <cell r="F464">
            <v>15.5</v>
          </cell>
        </row>
        <row r="465">
          <cell r="A465" t="str">
            <v>TP01.047</v>
          </cell>
          <cell r="B465" t="str">
            <v>Reducción de 3" a 2" PVC Drenaje</v>
          </cell>
          <cell r="C465" t="str">
            <v>u</v>
          </cell>
          <cell r="D465">
            <v>1</v>
          </cell>
          <cell r="E465">
            <v>10.5</v>
          </cell>
          <cell r="F465">
            <v>10.5</v>
          </cell>
        </row>
        <row r="466">
          <cell r="A466" t="str">
            <v>TP01.048</v>
          </cell>
          <cell r="B466" t="str">
            <v>Reducción de 4" a 3" PVC Drenaje</v>
          </cell>
          <cell r="C466" t="str">
            <v>u</v>
          </cell>
          <cell r="D466">
            <v>1</v>
          </cell>
          <cell r="E466">
            <v>20</v>
          </cell>
          <cell r="F466">
            <v>20</v>
          </cell>
        </row>
        <row r="467">
          <cell r="A467" t="str">
            <v>TP01.049</v>
          </cell>
          <cell r="B467" t="str">
            <v>Reducción de 4" a 2" PVC Drenaje</v>
          </cell>
          <cell r="C467" t="str">
            <v>u</v>
          </cell>
          <cell r="D467">
            <v>1</v>
          </cell>
          <cell r="E467">
            <v>18</v>
          </cell>
          <cell r="F467">
            <v>18</v>
          </cell>
        </row>
        <row r="468">
          <cell r="A468" t="str">
            <v>TP01.050</v>
          </cell>
          <cell r="B468" t="str">
            <v>Reducción de 6" a 4" PVC Drenaje</v>
          </cell>
          <cell r="C468" t="str">
            <v>u</v>
          </cell>
          <cell r="D468">
            <v>1</v>
          </cell>
          <cell r="E468">
            <v>160</v>
          </cell>
          <cell r="F468">
            <v>160</v>
          </cell>
        </row>
        <row r="469">
          <cell r="A469" t="str">
            <v>TP01.051</v>
          </cell>
          <cell r="B469" t="str">
            <v>Cemento PVC criollo, 1 GL (CANO)</v>
          </cell>
          <cell r="C469" t="str">
            <v>u</v>
          </cell>
          <cell r="D469">
            <v>1</v>
          </cell>
          <cell r="E469">
            <v>180</v>
          </cell>
          <cell r="F469">
            <v>180</v>
          </cell>
        </row>
        <row r="470">
          <cell r="A470" t="str">
            <v>TP01.052</v>
          </cell>
          <cell r="B470" t="str">
            <v>Cemento PVC criollo, 1/4 GL (CANO)</v>
          </cell>
          <cell r="C470" t="str">
            <v>u</v>
          </cell>
          <cell r="D470">
            <v>1</v>
          </cell>
          <cell r="E470">
            <v>53</v>
          </cell>
          <cell r="F470">
            <v>53</v>
          </cell>
        </row>
        <row r="471">
          <cell r="A471" t="str">
            <v>TP01.053</v>
          </cell>
          <cell r="B471" t="str">
            <v>Cemento PVC criollo, Pinta (CANO)</v>
          </cell>
          <cell r="C471" t="str">
            <v>u</v>
          </cell>
          <cell r="D471">
            <v>1</v>
          </cell>
          <cell r="E471">
            <v>27</v>
          </cell>
          <cell r="F471">
            <v>27</v>
          </cell>
        </row>
        <row r="472">
          <cell r="A472" t="str">
            <v>TP01.054</v>
          </cell>
          <cell r="B472" t="str">
            <v>Cemento PVC importado, 1000 gramos (TANGIT)</v>
          </cell>
          <cell r="C472" t="str">
            <v>u</v>
          </cell>
          <cell r="D472">
            <v>1</v>
          </cell>
          <cell r="E472">
            <v>230</v>
          </cell>
          <cell r="F472">
            <v>230</v>
          </cell>
        </row>
        <row r="473">
          <cell r="A473" t="str">
            <v>TP01.055</v>
          </cell>
          <cell r="B473" t="str">
            <v>Cemento PVC importado, 500 gramos (TANGIT)</v>
          </cell>
          <cell r="C473" t="str">
            <v>u</v>
          </cell>
          <cell r="D473">
            <v>1</v>
          </cell>
          <cell r="E473">
            <v>133</v>
          </cell>
          <cell r="F473">
            <v>133</v>
          </cell>
        </row>
        <row r="474">
          <cell r="A474" t="str">
            <v>TP01.056</v>
          </cell>
          <cell r="B474" t="str">
            <v>Cemento PVC importado, 250 gramos (TANGIT)</v>
          </cell>
          <cell r="C474" t="str">
            <v>u</v>
          </cell>
          <cell r="D474">
            <v>1</v>
          </cell>
          <cell r="E474">
            <v>78</v>
          </cell>
          <cell r="F474">
            <v>78</v>
          </cell>
        </row>
        <row r="475">
          <cell r="A475" t="str">
            <v>TP01.057</v>
          </cell>
          <cell r="B475" t="str">
            <v>Cemento PVC importado, 125 gramos (TANGIT)</v>
          </cell>
          <cell r="C475" t="str">
            <v>u</v>
          </cell>
          <cell r="D475">
            <v>1</v>
          </cell>
          <cell r="E475">
            <v>47</v>
          </cell>
          <cell r="F475">
            <v>47</v>
          </cell>
        </row>
        <row r="476">
          <cell r="A476" t="str">
            <v>TP02.</v>
          </cell>
          <cell r="B476" t="str">
            <v>Tuberias y Piezas Galvanizadas</v>
          </cell>
          <cell r="D476" t="str">
            <v/>
          </cell>
          <cell r="F476" t="str">
            <v/>
          </cell>
        </row>
        <row r="477">
          <cell r="A477" t="str">
            <v>TP02.001</v>
          </cell>
          <cell r="B477" t="str">
            <v>Tubo de 1/2" x 20', Galvanizado</v>
          </cell>
          <cell r="C477" t="str">
            <v>u</v>
          </cell>
          <cell r="D477">
            <v>1</v>
          </cell>
          <cell r="E477">
            <v>160</v>
          </cell>
          <cell r="F477">
            <v>160</v>
          </cell>
        </row>
        <row r="478">
          <cell r="A478" t="str">
            <v>TP02.002</v>
          </cell>
          <cell r="B478" t="str">
            <v>Tubo de 3/4" x 20', Galvanizado</v>
          </cell>
          <cell r="C478" t="str">
            <v>u</v>
          </cell>
          <cell r="D478">
            <v>1</v>
          </cell>
          <cell r="E478">
            <v>215</v>
          </cell>
          <cell r="F478">
            <v>215</v>
          </cell>
        </row>
        <row r="479">
          <cell r="A479" t="str">
            <v>TP02.003</v>
          </cell>
          <cell r="B479" t="str">
            <v>Tubo de 1" x 20', Galvanizado</v>
          </cell>
          <cell r="C479" t="str">
            <v>u</v>
          </cell>
          <cell r="D479">
            <v>1</v>
          </cell>
          <cell r="E479">
            <v>316</v>
          </cell>
          <cell r="F479">
            <v>316</v>
          </cell>
        </row>
        <row r="480">
          <cell r="A480" t="str">
            <v>TP02.004</v>
          </cell>
          <cell r="B480" t="str">
            <v>Tubo de 1 1/2" x 20', Galvanizado</v>
          </cell>
          <cell r="C480" t="str">
            <v>u</v>
          </cell>
          <cell r="D480">
            <v>1</v>
          </cell>
          <cell r="E480">
            <v>505</v>
          </cell>
          <cell r="F480">
            <v>505</v>
          </cell>
        </row>
        <row r="481">
          <cell r="A481" t="str">
            <v>TP02.005</v>
          </cell>
          <cell r="B481" t="str">
            <v>Tubo de 2" x 20', Galvanizado</v>
          </cell>
          <cell r="C481" t="str">
            <v>u</v>
          </cell>
          <cell r="D481">
            <v>1</v>
          </cell>
          <cell r="E481">
            <v>680</v>
          </cell>
          <cell r="F481">
            <v>680</v>
          </cell>
        </row>
        <row r="482">
          <cell r="A482" t="str">
            <v>TP02.006</v>
          </cell>
          <cell r="B482" t="str">
            <v>Tubo de 2 1/2" x 20', Galvanizado</v>
          </cell>
          <cell r="C482" t="str">
            <v>u</v>
          </cell>
          <cell r="D482">
            <v>1</v>
          </cell>
          <cell r="E482">
            <v>1075</v>
          </cell>
          <cell r="F482">
            <v>1075</v>
          </cell>
        </row>
        <row r="483">
          <cell r="A483" t="str">
            <v>TP02.007</v>
          </cell>
          <cell r="B483" t="str">
            <v>Tubo de 3" x 20', Galvanizado</v>
          </cell>
          <cell r="C483" t="str">
            <v>u</v>
          </cell>
          <cell r="D483">
            <v>1</v>
          </cell>
          <cell r="E483">
            <v>1400</v>
          </cell>
          <cell r="F483">
            <v>1400</v>
          </cell>
        </row>
        <row r="484">
          <cell r="A484" t="str">
            <v>TP02.008</v>
          </cell>
          <cell r="B484" t="str">
            <v>Tubo de 4" x 20', Galvanizado</v>
          </cell>
          <cell r="C484" t="str">
            <v>u</v>
          </cell>
          <cell r="D484">
            <v>1</v>
          </cell>
          <cell r="E484">
            <v>2740</v>
          </cell>
          <cell r="F484">
            <v>2740</v>
          </cell>
        </row>
        <row r="485">
          <cell r="A485" t="str">
            <v>TP02.009</v>
          </cell>
          <cell r="B485" t="str">
            <v>Codo de 1/2" x 90, Galvanizado</v>
          </cell>
          <cell r="C485" t="str">
            <v>u</v>
          </cell>
          <cell r="D485">
            <v>1</v>
          </cell>
          <cell r="E485">
            <v>4.5</v>
          </cell>
          <cell r="F485">
            <v>4.5</v>
          </cell>
        </row>
        <row r="486">
          <cell r="A486" t="str">
            <v>TP02.010</v>
          </cell>
          <cell r="B486" t="str">
            <v>Codo de 3/4" x 90, Galvanizado</v>
          </cell>
          <cell r="C486" t="str">
            <v>u</v>
          </cell>
          <cell r="D486">
            <v>1</v>
          </cell>
          <cell r="E486">
            <v>6.4</v>
          </cell>
          <cell r="F486">
            <v>6.4</v>
          </cell>
        </row>
        <row r="487">
          <cell r="A487" t="str">
            <v>TP02.011</v>
          </cell>
          <cell r="B487" t="str">
            <v>Codo de 1" x 90, Galvanizado</v>
          </cell>
          <cell r="C487" t="str">
            <v>u</v>
          </cell>
          <cell r="D487">
            <v>1</v>
          </cell>
          <cell r="E487">
            <v>7</v>
          </cell>
          <cell r="F487">
            <v>7</v>
          </cell>
        </row>
        <row r="488">
          <cell r="A488" t="str">
            <v>TP02.012</v>
          </cell>
          <cell r="B488" t="str">
            <v>Codo de 1 1/2" x 90, Galvanizado</v>
          </cell>
          <cell r="C488" t="str">
            <v>u</v>
          </cell>
          <cell r="D488">
            <v>1</v>
          </cell>
          <cell r="E488">
            <v>17.5</v>
          </cell>
          <cell r="F488">
            <v>17.5</v>
          </cell>
        </row>
        <row r="489">
          <cell r="A489" t="str">
            <v>TP02.013</v>
          </cell>
          <cell r="B489" t="str">
            <v>Codo de 2" x 90, Galvanizado</v>
          </cell>
          <cell r="C489" t="str">
            <v>u</v>
          </cell>
          <cell r="D489">
            <v>1</v>
          </cell>
          <cell r="E489">
            <v>27</v>
          </cell>
          <cell r="F489">
            <v>27</v>
          </cell>
        </row>
        <row r="490">
          <cell r="A490" t="str">
            <v>TP02.014</v>
          </cell>
          <cell r="B490" t="str">
            <v>Codo de 2 1/2" x 90, Galvanizado</v>
          </cell>
          <cell r="C490" t="str">
            <v>u</v>
          </cell>
          <cell r="D490">
            <v>1</v>
          </cell>
          <cell r="E490">
            <v>35</v>
          </cell>
          <cell r="F490">
            <v>35</v>
          </cell>
        </row>
        <row r="491">
          <cell r="A491" t="str">
            <v>TP02.015</v>
          </cell>
          <cell r="B491" t="str">
            <v>Codo de 3" x 90, Galvanizado</v>
          </cell>
          <cell r="C491" t="str">
            <v>u</v>
          </cell>
          <cell r="D491">
            <v>1</v>
          </cell>
          <cell r="E491">
            <v>52</v>
          </cell>
          <cell r="F491">
            <v>52</v>
          </cell>
        </row>
        <row r="492">
          <cell r="A492" t="str">
            <v>TP02.016</v>
          </cell>
          <cell r="B492" t="str">
            <v>Codo de 4" x 90, Galvanizado</v>
          </cell>
          <cell r="C492" t="str">
            <v>u</v>
          </cell>
          <cell r="D492">
            <v>1</v>
          </cell>
          <cell r="E492">
            <v>126</v>
          </cell>
          <cell r="F492">
            <v>126</v>
          </cell>
        </row>
        <row r="493">
          <cell r="A493" t="str">
            <v>TP02.017</v>
          </cell>
          <cell r="B493" t="str">
            <v>Codo Niple de 1/2" x 90, Galvanizado</v>
          </cell>
          <cell r="C493" t="str">
            <v>u</v>
          </cell>
          <cell r="D493">
            <v>1</v>
          </cell>
          <cell r="E493">
            <v>5.5</v>
          </cell>
          <cell r="F493">
            <v>5.5</v>
          </cell>
        </row>
        <row r="494">
          <cell r="A494" t="str">
            <v>TP02.018</v>
          </cell>
          <cell r="B494" t="str">
            <v>Codo Niple de 3/4" x 90, Galvanizado</v>
          </cell>
          <cell r="C494" t="str">
            <v>u</v>
          </cell>
          <cell r="D494">
            <v>1</v>
          </cell>
          <cell r="E494">
            <v>6.3</v>
          </cell>
          <cell r="F494">
            <v>6.3</v>
          </cell>
        </row>
        <row r="495">
          <cell r="A495" t="str">
            <v>TP02.019</v>
          </cell>
          <cell r="B495" t="str">
            <v>Codo Niple de 1" x 90, Galvanizado</v>
          </cell>
          <cell r="C495" t="str">
            <v>u</v>
          </cell>
          <cell r="D495">
            <v>1</v>
          </cell>
          <cell r="E495">
            <v>11.25</v>
          </cell>
          <cell r="F495">
            <v>11.25</v>
          </cell>
        </row>
        <row r="496">
          <cell r="A496" t="str">
            <v>TP02.020</v>
          </cell>
          <cell r="B496" t="str">
            <v>Codo Niple de 1 1/2" x 90, Galvanizado</v>
          </cell>
          <cell r="C496" t="str">
            <v>u</v>
          </cell>
          <cell r="D496">
            <v>1</v>
          </cell>
          <cell r="E496">
            <v>15</v>
          </cell>
          <cell r="F496">
            <v>15</v>
          </cell>
        </row>
        <row r="497">
          <cell r="A497" t="str">
            <v>TP02.021</v>
          </cell>
          <cell r="B497" t="str">
            <v>Codo Niple de 2" x 90, Galvanizado</v>
          </cell>
          <cell r="C497" t="str">
            <v>u</v>
          </cell>
          <cell r="D497">
            <v>1</v>
          </cell>
          <cell r="E497">
            <v>21</v>
          </cell>
          <cell r="F497">
            <v>21</v>
          </cell>
        </row>
        <row r="498">
          <cell r="A498" t="str">
            <v>TP02.022</v>
          </cell>
          <cell r="B498" t="str">
            <v>Tee de 1/2" , Galvanizada</v>
          </cell>
          <cell r="C498" t="str">
            <v>u</v>
          </cell>
          <cell r="D498">
            <v>1</v>
          </cell>
          <cell r="E498">
            <v>4</v>
          </cell>
          <cell r="F498">
            <v>4</v>
          </cell>
        </row>
        <row r="499">
          <cell r="A499" t="str">
            <v>TP02.023</v>
          </cell>
          <cell r="B499" t="str">
            <v>Tee de 3/4" , Galvanizada</v>
          </cell>
          <cell r="C499" t="str">
            <v>u</v>
          </cell>
          <cell r="D499">
            <v>1</v>
          </cell>
          <cell r="E499">
            <v>5.5</v>
          </cell>
          <cell r="F499">
            <v>5.5</v>
          </cell>
        </row>
        <row r="500">
          <cell r="A500" t="str">
            <v>TP02.024</v>
          </cell>
          <cell r="B500" t="str">
            <v>Tee de 1" , Galvanizada</v>
          </cell>
          <cell r="C500" t="str">
            <v>u</v>
          </cell>
          <cell r="D500">
            <v>1</v>
          </cell>
          <cell r="E500">
            <v>11.5</v>
          </cell>
          <cell r="F500">
            <v>11.5</v>
          </cell>
        </row>
        <row r="501">
          <cell r="A501" t="str">
            <v>TP02.025</v>
          </cell>
          <cell r="B501" t="str">
            <v>Tee de 1 1/2" , Galvanizada</v>
          </cell>
          <cell r="C501" t="str">
            <v>u</v>
          </cell>
          <cell r="D501">
            <v>1</v>
          </cell>
          <cell r="E501">
            <v>22</v>
          </cell>
          <cell r="F501">
            <v>22</v>
          </cell>
        </row>
        <row r="502">
          <cell r="A502" t="str">
            <v>TP02.026</v>
          </cell>
          <cell r="B502" t="str">
            <v>Tee de 2" , Galvanizada</v>
          </cell>
          <cell r="C502" t="str">
            <v>u</v>
          </cell>
          <cell r="D502">
            <v>1</v>
          </cell>
          <cell r="E502">
            <v>45</v>
          </cell>
          <cell r="F502">
            <v>45</v>
          </cell>
        </row>
        <row r="503">
          <cell r="A503" t="str">
            <v>TP02.027</v>
          </cell>
          <cell r="B503" t="str">
            <v>Tee de 2 1/2" , Galvanizada</v>
          </cell>
          <cell r="C503" t="str">
            <v>u</v>
          </cell>
          <cell r="D503">
            <v>1</v>
          </cell>
          <cell r="E503">
            <v>70</v>
          </cell>
          <cell r="F503">
            <v>70</v>
          </cell>
        </row>
        <row r="504">
          <cell r="A504" t="str">
            <v>TP02.028</v>
          </cell>
          <cell r="B504" t="str">
            <v>Tee de 3" , Galvanizada</v>
          </cell>
          <cell r="C504" t="str">
            <v>u</v>
          </cell>
          <cell r="D504">
            <v>1</v>
          </cell>
          <cell r="E504">
            <v>92</v>
          </cell>
          <cell r="F504">
            <v>92</v>
          </cell>
        </row>
        <row r="505">
          <cell r="A505" t="str">
            <v>TP02.029</v>
          </cell>
          <cell r="B505" t="str">
            <v>Tee de 4" , Galvanizada</v>
          </cell>
          <cell r="C505" t="str">
            <v>u</v>
          </cell>
          <cell r="D505">
            <v>1</v>
          </cell>
          <cell r="E505">
            <v>165</v>
          </cell>
          <cell r="F505">
            <v>165</v>
          </cell>
        </row>
        <row r="506">
          <cell r="A506" t="str">
            <v>TP02.030</v>
          </cell>
          <cell r="B506" t="str">
            <v>Unión Universal de 1/2" , Galvanizada</v>
          </cell>
          <cell r="C506" t="str">
            <v>u</v>
          </cell>
          <cell r="D506">
            <v>1</v>
          </cell>
          <cell r="E506">
            <v>19.5</v>
          </cell>
          <cell r="F506">
            <v>19.5</v>
          </cell>
        </row>
        <row r="507">
          <cell r="A507" t="str">
            <v>TP02.031</v>
          </cell>
          <cell r="B507" t="str">
            <v>Unión Universal de 3/4" , Galvanizada</v>
          </cell>
          <cell r="C507" t="str">
            <v>u</v>
          </cell>
          <cell r="D507">
            <v>1</v>
          </cell>
          <cell r="E507">
            <v>25</v>
          </cell>
          <cell r="F507">
            <v>25</v>
          </cell>
        </row>
        <row r="508">
          <cell r="A508" t="str">
            <v>TP02.032</v>
          </cell>
          <cell r="B508" t="str">
            <v>Unión Universal de 1" , Galvanizada</v>
          </cell>
          <cell r="C508" t="str">
            <v>u</v>
          </cell>
          <cell r="D508">
            <v>1</v>
          </cell>
          <cell r="E508">
            <v>30</v>
          </cell>
          <cell r="F508">
            <v>30</v>
          </cell>
        </row>
        <row r="509">
          <cell r="A509" t="str">
            <v>TP02.033</v>
          </cell>
          <cell r="B509" t="str">
            <v>Unión Universal de 1 1/2" , Galvanizada</v>
          </cell>
          <cell r="C509" t="str">
            <v>u</v>
          </cell>
          <cell r="D509">
            <v>1</v>
          </cell>
          <cell r="E509">
            <v>52</v>
          </cell>
          <cell r="F509">
            <v>52</v>
          </cell>
        </row>
        <row r="510">
          <cell r="A510" t="str">
            <v>TP02.034</v>
          </cell>
          <cell r="B510" t="str">
            <v>Unión Universal de 2" , Galvanizada</v>
          </cell>
          <cell r="C510" t="str">
            <v>u</v>
          </cell>
          <cell r="D510">
            <v>1</v>
          </cell>
          <cell r="E510">
            <v>78</v>
          </cell>
          <cell r="F510">
            <v>78</v>
          </cell>
        </row>
        <row r="511">
          <cell r="A511" t="str">
            <v>TP02.035</v>
          </cell>
          <cell r="B511" t="str">
            <v>Unión Universal de 2 1/2" , Galvanizada</v>
          </cell>
          <cell r="C511" t="str">
            <v>u</v>
          </cell>
          <cell r="D511">
            <v>1</v>
          </cell>
          <cell r="E511">
            <v>96</v>
          </cell>
          <cell r="F511">
            <v>96</v>
          </cell>
        </row>
        <row r="512">
          <cell r="A512" t="str">
            <v>TP02.036</v>
          </cell>
          <cell r="B512" t="str">
            <v>Unión Universal de 3" , Galvanizada</v>
          </cell>
          <cell r="C512" t="str">
            <v>u</v>
          </cell>
          <cell r="D512">
            <v>1</v>
          </cell>
          <cell r="E512">
            <v>160</v>
          </cell>
          <cell r="F512">
            <v>160</v>
          </cell>
        </row>
        <row r="513">
          <cell r="A513" t="str">
            <v>TP02.037</v>
          </cell>
          <cell r="B513" t="str">
            <v>Unión Universal de 4" , Galvanizada</v>
          </cell>
          <cell r="C513" t="str">
            <v>u</v>
          </cell>
          <cell r="D513">
            <v>1</v>
          </cell>
          <cell r="E513">
            <v>416</v>
          </cell>
          <cell r="F513">
            <v>416</v>
          </cell>
        </row>
        <row r="514">
          <cell r="A514" t="str">
            <v>TP02.038</v>
          </cell>
          <cell r="B514" t="str">
            <v>Tapón Macho de 1/2" , Galvanizado</v>
          </cell>
          <cell r="C514" t="str">
            <v>u</v>
          </cell>
          <cell r="D514">
            <v>1</v>
          </cell>
          <cell r="E514">
            <v>3</v>
          </cell>
          <cell r="F514">
            <v>3</v>
          </cell>
        </row>
        <row r="515">
          <cell r="A515" t="str">
            <v>TP02.039</v>
          </cell>
          <cell r="B515" t="str">
            <v>Tapón Macho de 3/4" , Galvanizado</v>
          </cell>
          <cell r="C515" t="str">
            <v>u</v>
          </cell>
          <cell r="D515">
            <v>1</v>
          </cell>
          <cell r="E515">
            <v>3.3</v>
          </cell>
          <cell r="F515">
            <v>3.3</v>
          </cell>
        </row>
        <row r="516">
          <cell r="A516" t="str">
            <v>TP02.040</v>
          </cell>
          <cell r="B516" t="str">
            <v>Tapón Macho de 1" , Galvanizado</v>
          </cell>
          <cell r="C516" t="str">
            <v>u</v>
          </cell>
          <cell r="D516">
            <v>1</v>
          </cell>
          <cell r="E516">
            <v>4.4000000000000004</v>
          </cell>
          <cell r="F516">
            <v>4.4000000000000004</v>
          </cell>
        </row>
        <row r="517">
          <cell r="A517" t="str">
            <v>TP02.041</v>
          </cell>
          <cell r="B517" t="str">
            <v>Tapón Macho de 1 1/2" , Galvanizado</v>
          </cell>
          <cell r="C517" t="str">
            <v>u</v>
          </cell>
          <cell r="D517">
            <v>1</v>
          </cell>
          <cell r="E517">
            <v>5.75</v>
          </cell>
          <cell r="F517">
            <v>5.75</v>
          </cell>
        </row>
        <row r="518">
          <cell r="A518" t="str">
            <v>TP02.042</v>
          </cell>
          <cell r="B518" t="str">
            <v>Tapón Macho de 2" , Galvanizado</v>
          </cell>
          <cell r="C518" t="str">
            <v>u</v>
          </cell>
          <cell r="D518">
            <v>1</v>
          </cell>
          <cell r="E518">
            <v>6.75</v>
          </cell>
          <cell r="F518">
            <v>6.75</v>
          </cell>
        </row>
        <row r="519">
          <cell r="A519" t="str">
            <v>TP02.043</v>
          </cell>
          <cell r="B519" t="str">
            <v>Tapón Macho de 2 1/2" , Galvanizado</v>
          </cell>
          <cell r="C519" t="str">
            <v>u</v>
          </cell>
          <cell r="D519">
            <v>1</v>
          </cell>
          <cell r="E519">
            <v>16</v>
          </cell>
          <cell r="F519">
            <v>16</v>
          </cell>
        </row>
        <row r="520">
          <cell r="A520" t="str">
            <v>TP02.044</v>
          </cell>
          <cell r="B520" t="str">
            <v>Tapón Macho de 3" , Galvanizado</v>
          </cell>
          <cell r="C520" t="str">
            <v>u</v>
          </cell>
          <cell r="D520">
            <v>1</v>
          </cell>
          <cell r="E520">
            <v>32</v>
          </cell>
          <cell r="F520">
            <v>32</v>
          </cell>
        </row>
        <row r="521">
          <cell r="A521" t="str">
            <v>TP02.045</v>
          </cell>
          <cell r="B521" t="str">
            <v>Tapón Macho de 4" , Galvanizado</v>
          </cell>
          <cell r="C521" t="str">
            <v>u</v>
          </cell>
          <cell r="D521">
            <v>1</v>
          </cell>
          <cell r="E521">
            <v>56</v>
          </cell>
          <cell r="F521">
            <v>56</v>
          </cell>
        </row>
        <row r="522">
          <cell r="A522" t="str">
            <v>TP02.046</v>
          </cell>
          <cell r="B522" t="str">
            <v>Tapón Hembra de 1/2" , Galvanizado</v>
          </cell>
          <cell r="C522" t="str">
            <v>u</v>
          </cell>
          <cell r="D522">
            <v>1</v>
          </cell>
          <cell r="E522">
            <v>2.2000000000000002</v>
          </cell>
          <cell r="F522">
            <v>2.2000000000000002</v>
          </cell>
        </row>
        <row r="523">
          <cell r="A523" t="str">
            <v>TP02.047</v>
          </cell>
          <cell r="B523" t="str">
            <v>Tapón Hembra de 3/4" , Galvanizado</v>
          </cell>
          <cell r="C523" t="str">
            <v>u</v>
          </cell>
          <cell r="D523">
            <v>1</v>
          </cell>
          <cell r="E523">
            <v>2.75</v>
          </cell>
          <cell r="F523">
            <v>2.75</v>
          </cell>
        </row>
        <row r="524">
          <cell r="A524" t="str">
            <v>TP02.048</v>
          </cell>
          <cell r="B524" t="str">
            <v>Tapón Hembra de 1" , Galvanizado</v>
          </cell>
          <cell r="C524" t="str">
            <v>u</v>
          </cell>
          <cell r="D524">
            <v>1</v>
          </cell>
          <cell r="E524">
            <v>4</v>
          </cell>
          <cell r="F524">
            <v>4</v>
          </cell>
        </row>
        <row r="525">
          <cell r="A525" t="str">
            <v>TP02.049</v>
          </cell>
          <cell r="B525" t="str">
            <v>Tapón Hembra de 1 1/2" , Galvanizado</v>
          </cell>
          <cell r="C525" t="str">
            <v>u</v>
          </cell>
          <cell r="D525">
            <v>1</v>
          </cell>
          <cell r="E525">
            <v>10</v>
          </cell>
          <cell r="F525">
            <v>10</v>
          </cell>
        </row>
        <row r="526">
          <cell r="A526" t="str">
            <v>TP02.050</v>
          </cell>
          <cell r="B526" t="str">
            <v>Tapón Hembra de 2" , Galvanizado</v>
          </cell>
          <cell r="C526" t="str">
            <v>u</v>
          </cell>
          <cell r="D526">
            <v>1</v>
          </cell>
          <cell r="E526">
            <v>14</v>
          </cell>
          <cell r="F526">
            <v>14</v>
          </cell>
        </row>
        <row r="527">
          <cell r="A527" t="str">
            <v>TP02.051</v>
          </cell>
          <cell r="B527" t="str">
            <v>Tapón Hembra de 2 1/2" , Galvanizado</v>
          </cell>
          <cell r="C527" t="str">
            <v>u</v>
          </cell>
          <cell r="D527">
            <v>1</v>
          </cell>
          <cell r="E527">
            <v>21</v>
          </cell>
          <cell r="F527">
            <v>21</v>
          </cell>
        </row>
        <row r="528">
          <cell r="A528" t="str">
            <v>TP02.052</v>
          </cell>
          <cell r="B528" t="str">
            <v>Tapón Hembra de 3" , Galvanizado</v>
          </cell>
          <cell r="C528" t="str">
            <v>u</v>
          </cell>
          <cell r="D528">
            <v>1</v>
          </cell>
          <cell r="E528">
            <v>29</v>
          </cell>
          <cell r="F528">
            <v>29</v>
          </cell>
        </row>
        <row r="529">
          <cell r="A529" t="str">
            <v>TP02.053</v>
          </cell>
          <cell r="B529" t="str">
            <v>Tapón Hembra de 4" , Galvanizado</v>
          </cell>
          <cell r="C529" t="str">
            <v>u</v>
          </cell>
          <cell r="D529">
            <v>1</v>
          </cell>
          <cell r="E529">
            <v>48</v>
          </cell>
          <cell r="F529">
            <v>48</v>
          </cell>
        </row>
        <row r="530">
          <cell r="A530" t="str">
            <v>TP02.054</v>
          </cell>
          <cell r="B530" t="str">
            <v>Reducción "bushing" de 1/2" a 3/8", Galvanizada</v>
          </cell>
          <cell r="C530" t="str">
            <v>u</v>
          </cell>
          <cell r="D530">
            <v>1</v>
          </cell>
          <cell r="E530">
            <v>3.5</v>
          </cell>
          <cell r="F530">
            <v>3.5</v>
          </cell>
        </row>
        <row r="531">
          <cell r="A531" t="str">
            <v>TP02.055</v>
          </cell>
          <cell r="B531" t="str">
            <v>Reducción "bushing" de 3/4" a 1/2", Galvanizada</v>
          </cell>
          <cell r="C531" t="str">
            <v>u</v>
          </cell>
          <cell r="D531">
            <v>1</v>
          </cell>
          <cell r="E531">
            <v>3.75</v>
          </cell>
          <cell r="F531">
            <v>3.75</v>
          </cell>
        </row>
        <row r="532">
          <cell r="A532" t="str">
            <v>TP02.056</v>
          </cell>
          <cell r="B532" t="str">
            <v>Reducción "bushing" de 1" a 3/4", Galvanizada</v>
          </cell>
          <cell r="C532" t="str">
            <v>u</v>
          </cell>
          <cell r="D532">
            <v>1</v>
          </cell>
          <cell r="E532">
            <v>4</v>
          </cell>
          <cell r="F532">
            <v>4</v>
          </cell>
        </row>
        <row r="533">
          <cell r="A533" t="str">
            <v>TP02.057</v>
          </cell>
          <cell r="B533" t="str">
            <v>Reducción "bushing" de 2" a 3/4", Galvanizada</v>
          </cell>
          <cell r="C533" t="str">
            <v>u</v>
          </cell>
          <cell r="D533">
            <v>1</v>
          </cell>
          <cell r="E533">
            <v>14.25</v>
          </cell>
          <cell r="F533">
            <v>14.25</v>
          </cell>
        </row>
        <row r="534">
          <cell r="A534" t="str">
            <v>TP02.058</v>
          </cell>
          <cell r="B534" t="str">
            <v>Reducción "bushing" de 2" a 1", Galvanizada</v>
          </cell>
          <cell r="C534" t="str">
            <v>u</v>
          </cell>
          <cell r="D534">
            <v>1</v>
          </cell>
          <cell r="E534">
            <v>14.25</v>
          </cell>
          <cell r="F534">
            <v>14.25</v>
          </cell>
        </row>
        <row r="535">
          <cell r="A535" t="str">
            <v>TP02.059</v>
          </cell>
          <cell r="B535" t="str">
            <v>Reducción "bushing" de 2 1/2" a 1", Galvanizada</v>
          </cell>
          <cell r="C535" t="str">
            <v>u</v>
          </cell>
          <cell r="D535">
            <v>1</v>
          </cell>
          <cell r="E535">
            <v>24</v>
          </cell>
          <cell r="F535">
            <v>24</v>
          </cell>
        </row>
        <row r="536">
          <cell r="A536" t="str">
            <v>TP02.060</v>
          </cell>
          <cell r="B536" t="str">
            <v>Reducción copa de 1/2" a 3/8", Galvanizada</v>
          </cell>
          <cell r="C536" t="str">
            <v>u</v>
          </cell>
          <cell r="D536">
            <v>1</v>
          </cell>
          <cell r="E536">
            <v>3.75</v>
          </cell>
          <cell r="F536">
            <v>3.75</v>
          </cell>
        </row>
        <row r="537">
          <cell r="A537" t="str">
            <v>TP02.061</v>
          </cell>
          <cell r="B537" t="str">
            <v>Reducción copa de 3/4" a 1/2", Galvanizada</v>
          </cell>
          <cell r="C537" t="str">
            <v>u</v>
          </cell>
          <cell r="D537">
            <v>1</v>
          </cell>
          <cell r="E537">
            <v>5.5</v>
          </cell>
          <cell r="F537">
            <v>5.5</v>
          </cell>
        </row>
        <row r="538">
          <cell r="A538" t="str">
            <v>TP02.062</v>
          </cell>
          <cell r="B538" t="str">
            <v>Reducción copa de 1" a 3/4", Galvanizada</v>
          </cell>
          <cell r="C538" t="str">
            <v>u</v>
          </cell>
          <cell r="D538">
            <v>1</v>
          </cell>
          <cell r="E538">
            <v>7</v>
          </cell>
          <cell r="F538">
            <v>7</v>
          </cell>
        </row>
        <row r="539">
          <cell r="A539" t="str">
            <v>TP02.063</v>
          </cell>
          <cell r="B539" t="str">
            <v>Reducción copa de 2" a 3/4", Galvanizada</v>
          </cell>
          <cell r="C539" t="str">
            <v>u</v>
          </cell>
          <cell r="D539">
            <v>1</v>
          </cell>
          <cell r="E539">
            <v>18.5</v>
          </cell>
          <cell r="F539">
            <v>18.5</v>
          </cell>
        </row>
        <row r="540">
          <cell r="A540" t="str">
            <v>TP02.064</v>
          </cell>
          <cell r="B540" t="str">
            <v>Reducción copa de 2" a 1", Galvanizada</v>
          </cell>
          <cell r="C540" t="str">
            <v>u</v>
          </cell>
          <cell r="D540">
            <v>1</v>
          </cell>
          <cell r="E540">
            <v>18.5</v>
          </cell>
          <cell r="F540">
            <v>18.5</v>
          </cell>
        </row>
        <row r="541">
          <cell r="A541" t="str">
            <v>TP02.065</v>
          </cell>
          <cell r="B541" t="str">
            <v>Reducción copa de 2 1/2" a 1", Galvanizada</v>
          </cell>
          <cell r="C541" t="str">
            <v>u</v>
          </cell>
          <cell r="D541">
            <v>1</v>
          </cell>
          <cell r="E541">
            <v>25.75</v>
          </cell>
          <cell r="F541">
            <v>25.75</v>
          </cell>
        </row>
        <row r="542">
          <cell r="A542" t="str">
            <v>TP02.066</v>
          </cell>
          <cell r="B542" t="str">
            <v>Niple de 1/2" x 4", Galvanizado</v>
          </cell>
          <cell r="C542" t="str">
            <v>u</v>
          </cell>
          <cell r="D542">
            <v>1</v>
          </cell>
          <cell r="E542">
            <v>5</v>
          </cell>
          <cell r="F542">
            <v>5</v>
          </cell>
        </row>
        <row r="543">
          <cell r="A543" t="str">
            <v>TP02.067</v>
          </cell>
          <cell r="B543" t="str">
            <v>Niple de 3/4" x 4", Galvanizado</v>
          </cell>
          <cell r="C543" t="str">
            <v>u</v>
          </cell>
          <cell r="D543">
            <v>1</v>
          </cell>
          <cell r="E543">
            <v>14.5</v>
          </cell>
          <cell r="F543">
            <v>14.5</v>
          </cell>
        </row>
        <row r="544">
          <cell r="A544" t="str">
            <v>TP02.068</v>
          </cell>
          <cell r="B544" t="str">
            <v>Niple de 1" x 4", Galvanizado</v>
          </cell>
          <cell r="C544" t="str">
            <v>u</v>
          </cell>
          <cell r="D544">
            <v>1</v>
          </cell>
          <cell r="E544">
            <v>21.25</v>
          </cell>
          <cell r="F544">
            <v>21.25</v>
          </cell>
        </row>
        <row r="545">
          <cell r="A545" t="str">
            <v>TP02.069</v>
          </cell>
          <cell r="B545" t="str">
            <v>Niple de 1 1/2" x 4", Galvanizado</v>
          </cell>
          <cell r="C545" t="str">
            <v>u</v>
          </cell>
          <cell r="D545">
            <v>1</v>
          </cell>
          <cell r="E545">
            <v>16.2</v>
          </cell>
          <cell r="F545">
            <v>16.2</v>
          </cell>
        </row>
        <row r="546">
          <cell r="A546" t="str">
            <v>TP02.070</v>
          </cell>
          <cell r="B546" t="str">
            <v>Niple de 2" x 4", Galvanizado</v>
          </cell>
          <cell r="C546" t="str">
            <v>u</v>
          </cell>
          <cell r="D546">
            <v>1</v>
          </cell>
          <cell r="E546">
            <v>21.5</v>
          </cell>
          <cell r="F546">
            <v>21.5</v>
          </cell>
        </row>
        <row r="547">
          <cell r="A547" t="str">
            <v>TP02.071</v>
          </cell>
          <cell r="B547" t="str">
            <v>Rollo de Teflon de 1/2"</v>
          </cell>
          <cell r="C547" t="str">
            <v>u</v>
          </cell>
          <cell r="D547">
            <v>1</v>
          </cell>
          <cell r="E547">
            <v>3</v>
          </cell>
          <cell r="F547">
            <v>3</v>
          </cell>
        </row>
        <row r="548">
          <cell r="A548" t="str">
            <v>TP02.072</v>
          </cell>
          <cell r="B548" t="str">
            <v>Rollo de Teflon de 3/4"</v>
          </cell>
          <cell r="C548" t="str">
            <v>u</v>
          </cell>
          <cell r="D548">
            <v>1</v>
          </cell>
          <cell r="E548">
            <v>10.6</v>
          </cell>
          <cell r="F548">
            <v>10.6</v>
          </cell>
        </row>
        <row r="549">
          <cell r="A549" t="str">
            <v>TP03.</v>
          </cell>
          <cell r="B549" t="str">
            <v>Tuberías y Piezas PVC Presión</v>
          </cell>
          <cell r="D549" t="str">
            <v/>
          </cell>
          <cell r="F549" t="str">
            <v/>
          </cell>
        </row>
        <row r="550">
          <cell r="A550" t="str">
            <v>TP03.001</v>
          </cell>
          <cell r="B550" t="str">
            <v>Tubo de 1/2" x 20', PVC SCH-40</v>
          </cell>
          <cell r="C550" t="str">
            <v>u</v>
          </cell>
          <cell r="D550">
            <v>1</v>
          </cell>
          <cell r="E550">
            <v>42</v>
          </cell>
          <cell r="F550">
            <v>42</v>
          </cell>
        </row>
        <row r="551">
          <cell r="A551" t="str">
            <v>TP03.002</v>
          </cell>
          <cell r="B551" t="str">
            <v>Tubo de 3/4" x 20', PVC SCH-40</v>
          </cell>
          <cell r="C551" t="str">
            <v>u</v>
          </cell>
          <cell r="D551">
            <v>1</v>
          </cell>
          <cell r="E551">
            <v>55.5</v>
          </cell>
          <cell r="F551">
            <v>55.5</v>
          </cell>
        </row>
        <row r="552">
          <cell r="A552" t="str">
            <v>TP03.003</v>
          </cell>
          <cell r="B552" t="str">
            <v>Tubo de 1" x 20', PVC SCH-40</v>
          </cell>
          <cell r="C552" t="str">
            <v>u</v>
          </cell>
          <cell r="D552">
            <v>1</v>
          </cell>
          <cell r="E552">
            <v>74</v>
          </cell>
          <cell r="F552">
            <v>74</v>
          </cell>
        </row>
        <row r="553">
          <cell r="A553" t="str">
            <v>TP03.004</v>
          </cell>
          <cell r="B553" t="str">
            <v>Tubo de 1 1/2" x 20', PVC SCH-40</v>
          </cell>
          <cell r="C553" t="str">
            <v>u</v>
          </cell>
          <cell r="D553">
            <v>1</v>
          </cell>
          <cell r="E553">
            <v>130</v>
          </cell>
          <cell r="F553">
            <v>130</v>
          </cell>
        </row>
        <row r="554">
          <cell r="A554" t="str">
            <v>TP03.005</v>
          </cell>
          <cell r="B554" t="str">
            <v>Tubo de 2" x 20', PVC SCH-40</v>
          </cell>
          <cell r="C554" t="str">
            <v>u</v>
          </cell>
          <cell r="D554">
            <v>1</v>
          </cell>
          <cell r="E554">
            <v>185</v>
          </cell>
          <cell r="F554">
            <v>185</v>
          </cell>
        </row>
        <row r="555">
          <cell r="A555" t="str">
            <v>TP03.006</v>
          </cell>
          <cell r="B555" t="str">
            <v>Tubo de 3" x 20', PVC SCH-40</v>
          </cell>
          <cell r="C555" t="str">
            <v>u</v>
          </cell>
          <cell r="D555">
            <v>1</v>
          </cell>
          <cell r="E555">
            <v>324</v>
          </cell>
          <cell r="F555">
            <v>324</v>
          </cell>
        </row>
        <row r="556">
          <cell r="A556" t="str">
            <v>TP03.007</v>
          </cell>
          <cell r="B556" t="str">
            <v>Tubo de 4" x 20', PVC SCH-40</v>
          </cell>
          <cell r="C556" t="str">
            <v>u</v>
          </cell>
          <cell r="D556">
            <v>1</v>
          </cell>
          <cell r="E556">
            <v>519</v>
          </cell>
          <cell r="F556">
            <v>519</v>
          </cell>
        </row>
        <row r="557">
          <cell r="A557" t="str">
            <v>TP03.008</v>
          </cell>
          <cell r="B557" t="str">
            <v>Codo de 1/2" x 90, PVC Presión</v>
          </cell>
          <cell r="C557" t="str">
            <v>u</v>
          </cell>
          <cell r="D557">
            <v>1</v>
          </cell>
          <cell r="E557">
            <v>1.65</v>
          </cell>
          <cell r="F557">
            <v>1.65</v>
          </cell>
        </row>
        <row r="558">
          <cell r="A558" t="str">
            <v>TP03.009</v>
          </cell>
          <cell r="B558" t="str">
            <v>Codo de 3/4" x 90, PVC Presión</v>
          </cell>
          <cell r="C558" t="str">
            <v>u</v>
          </cell>
          <cell r="D558">
            <v>1</v>
          </cell>
          <cell r="E558">
            <v>2.35</v>
          </cell>
          <cell r="F558">
            <v>2.35</v>
          </cell>
        </row>
        <row r="559">
          <cell r="A559" t="str">
            <v>TP03.010</v>
          </cell>
          <cell r="B559" t="str">
            <v>Codo de 1" x 90, PVC Presión</v>
          </cell>
          <cell r="C559" t="str">
            <v>u</v>
          </cell>
          <cell r="D559">
            <v>1</v>
          </cell>
          <cell r="E559">
            <v>5</v>
          </cell>
          <cell r="F559">
            <v>5</v>
          </cell>
        </row>
        <row r="560">
          <cell r="A560" t="str">
            <v>TP03.011</v>
          </cell>
          <cell r="B560" t="str">
            <v>Codo de 1 1/2" x 90, PVC Presión</v>
          </cell>
          <cell r="C560" t="str">
            <v>u</v>
          </cell>
          <cell r="D560">
            <v>1</v>
          </cell>
          <cell r="E560">
            <v>10</v>
          </cell>
          <cell r="F560">
            <v>10</v>
          </cell>
        </row>
        <row r="561">
          <cell r="A561" t="str">
            <v>TP03.012</v>
          </cell>
          <cell r="B561" t="str">
            <v>Codo de 2" x 90, PVC Presión</v>
          </cell>
          <cell r="C561" t="str">
            <v>u</v>
          </cell>
          <cell r="D561">
            <v>1</v>
          </cell>
          <cell r="E561">
            <v>16.5</v>
          </cell>
          <cell r="F561">
            <v>16.5</v>
          </cell>
        </row>
        <row r="562">
          <cell r="A562" t="str">
            <v>TP03.013</v>
          </cell>
          <cell r="B562" t="str">
            <v>Codo de 3" x 90, PVC Presión</v>
          </cell>
          <cell r="C562" t="str">
            <v>u</v>
          </cell>
          <cell r="D562">
            <v>1</v>
          </cell>
          <cell r="E562">
            <v>50</v>
          </cell>
          <cell r="F562">
            <v>50</v>
          </cell>
        </row>
        <row r="563">
          <cell r="A563" t="str">
            <v>TP03.014</v>
          </cell>
          <cell r="B563" t="str">
            <v>Codo de 4" x 90, PVC Presión</v>
          </cell>
          <cell r="C563" t="str">
            <v>u</v>
          </cell>
          <cell r="D563">
            <v>1</v>
          </cell>
          <cell r="E563">
            <v>78</v>
          </cell>
          <cell r="F563">
            <v>78</v>
          </cell>
        </row>
        <row r="564">
          <cell r="A564" t="str">
            <v>TP03.015</v>
          </cell>
          <cell r="B564" t="str">
            <v>Codo de 6" x 90, PVC Presión</v>
          </cell>
          <cell r="C564" t="str">
            <v>u</v>
          </cell>
          <cell r="D564">
            <v>1</v>
          </cell>
          <cell r="E564">
            <v>320</v>
          </cell>
          <cell r="F564">
            <v>320</v>
          </cell>
        </row>
        <row r="565">
          <cell r="A565" t="str">
            <v>TP03.016</v>
          </cell>
          <cell r="B565" t="str">
            <v>Tee de 1/2" , PVC Presión</v>
          </cell>
          <cell r="C565" t="str">
            <v>u</v>
          </cell>
          <cell r="D565">
            <v>1</v>
          </cell>
          <cell r="E565">
            <v>2.5</v>
          </cell>
          <cell r="F565">
            <v>2.5</v>
          </cell>
        </row>
        <row r="566">
          <cell r="A566" t="str">
            <v>TP03.017</v>
          </cell>
          <cell r="B566" t="str">
            <v>Tee de 3/4" , PVC Presión</v>
          </cell>
          <cell r="C566" t="str">
            <v>u</v>
          </cell>
          <cell r="D566">
            <v>1</v>
          </cell>
          <cell r="E566">
            <v>3.25</v>
          </cell>
          <cell r="F566">
            <v>3.25</v>
          </cell>
        </row>
        <row r="567">
          <cell r="A567" t="str">
            <v>TP03.018</v>
          </cell>
          <cell r="B567" t="str">
            <v>Tee de 1" , PVC Presión</v>
          </cell>
          <cell r="C567" t="str">
            <v>u</v>
          </cell>
          <cell r="D567">
            <v>1</v>
          </cell>
          <cell r="E567">
            <v>7</v>
          </cell>
          <cell r="F567">
            <v>7</v>
          </cell>
        </row>
        <row r="568">
          <cell r="A568" t="str">
            <v>TP03.019</v>
          </cell>
          <cell r="B568" t="str">
            <v>Tee de 1 1/2" , PVC Presión</v>
          </cell>
          <cell r="C568" t="str">
            <v>u</v>
          </cell>
          <cell r="D568">
            <v>1</v>
          </cell>
          <cell r="E568">
            <v>14.5</v>
          </cell>
          <cell r="F568">
            <v>14.5</v>
          </cell>
        </row>
        <row r="569">
          <cell r="A569" t="str">
            <v>TP03.020</v>
          </cell>
          <cell r="B569" t="str">
            <v>Tee de 2" , PVC Presión</v>
          </cell>
          <cell r="C569" t="str">
            <v>u</v>
          </cell>
          <cell r="D569">
            <v>1</v>
          </cell>
          <cell r="E569">
            <v>24.5</v>
          </cell>
          <cell r="F569">
            <v>24.5</v>
          </cell>
        </row>
        <row r="570">
          <cell r="A570" t="str">
            <v>TP03.021</v>
          </cell>
          <cell r="B570" t="str">
            <v>Tee de 3" , PVC Presión</v>
          </cell>
          <cell r="C570" t="str">
            <v>u</v>
          </cell>
          <cell r="D570">
            <v>1</v>
          </cell>
          <cell r="E570">
            <v>88.8</v>
          </cell>
          <cell r="F570">
            <v>88.8</v>
          </cell>
        </row>
        <row r="571">
          <cell r="A571" t="str">
            <v>TP03.022</v>
          </cell>
          <cell r="B571" t="str">
            <v>Tee de 4" , PVC Presión</v>
          </cell>
          <cell r="C571" t="str">
            <v>u</v>
          </cell>
          <cell r="D571">
            <v>1</v>
          </cell>
          <cell r="E571">
            <v>144</v>
          </cell>
          <cell r="F571">
            <v>144</v>
          </cell>
        </row>
        <row r="572">
          <cell r="A572" t="str">
            <v>TP03.023</v>
          </cell>
          <cell r="B572" t="str">
            <v>Tee de 6" , PVC Presión</v>
          </cell>
          <cell r="C572" t="str">
            <v>u</v>
          </cell>
          <cell r="D572">
            <v>1</v>
          </cell>
          <cell r="E572">
            <v>355</v>
          </cell>
          <cell r="F572">
            <v>355</v>
          </cell>
        </row>
        <row r="573">
          <cell r="A573" t="str">
            <v>TP03.024</v>
          </cell>
          <cell r="B573" t="str">
            <v>Unión Universal de 1/2" , PVC Presión</v>
          </cell>
          <cell r="C573" t="str">
            <v>u</v>
          </cell>
          <cell r="D573">
            <v>1</v>
          </cell>
          <cell r="E573">
            <v>20</v>
          </cell>
          <cell r="F573">
            <v>20</v>
          </cell>
        </row>
        <row r="574">
          <cell r="A574" t="str">
            <v>TP03.025</v>
          </cell>
          <cell r="B574" t="str">
            <v>Unión Universal de 3/4" , PVC Presión</v>
          </cell>
          <cell r="C574" t="str">
            <v>u</v>
          </cell>
          <cell r="D574">
            <v>1</v>
          </cell>
          <cell r="E574">
            <v>27.5</v>
          </cell>
          <cell r="F574">
            <v>27.5</v>
          </cell>
        </row>
        <row r="575">
          <cell r="A575" t="str">
            <v>TP03.026</v>
          </cell>
          <cell r="B575" t="str">
            <v>Unión Universal de 1" , PVC Presión</v>
          </cell>
          <cell r="C575" t="str">
            <v>u</v>
          </cell>
          <cell r="D575">
            <v>1</v>
          </cell>
          <cell r="E575">
            <v>42</v>
          </cell>
          <cell r="F575">
            <v>42</v>
          </cell>
        </row>
        <row r="576">
          <cell r="A576" t="str">
            <v>TP03.027</v>
          </cell>
          <cell r="B576" t="str">
            <v>Unión Universal de 1 1/2" , PVC Presión</v>
          </cell>
          <cell r="C576" t="str">
            <v>u</v>
          </cell>
          <cell r="D576">
            <v>1</v>
          </cell>
          <cell r="E576">
            <v>69</v>
          </cell>
          <cell r="F576">
            <v>69</v>
          </cell>
        </row>
        <row r="577">
          <cell r="A577" t="str">
            <v>TP03.028</v>
          </cell>
          <cell r="B577" t="str">
            <v>Unión Universal de 2" , PVC Presión</v>
          </cell>
          <cell r="C577" t="str">
            <v>u</v>
          </cell>
          <cell r="D577">
            <v>1</v>
          </cell>
          <cell r="E577">
            <v>79</v>
          </cell>
          <cell r="F577">
            <v>79</v>
          </cell>
        </row>
        <row r="578">
          <cell r="A578" t="str">
            <v>TP03.029</v>
          </cell>
          <cell r="B578" t="str">
            <v>Unión Universal de 3" , PVC Presión</v>
          </cell>
          <cell r="C578" t="str">
            <v>u</v>
          </cell>
          <cell r="D578">
            <v>1</v>
          </cell>
          <cell r="E578">
            <v>166</v>
          </cell>
          <cell r="F578">
            <v>166</v>
          </cell>
        </row>
        <row r="579">
          <cell r="A579" t="str">
            <v>TP03.030</v>
          </cell>
          <cell r="B579" t="str">
            <v>Adaptador Macho de 1/2" , PVC Presión</v>
          </cell>
          <cell r="C579" t="str">
            <v>u</v>
          </cell>
          <cell r="D579">
            <v>1</v>
          </cell>
          <cell r="E579">
            <v>1.75</v>
          </cell>
          <cell r="F579">
            <v>1.75</v>
          </cell>
        </row>
        <row r="580">
          <cell r="A580" t="str">
            <v>TP03.031</v>
          </cell>
          <cell r="B580" t="str">
            <v>Adaptador Macho de 3/4" , PVC Presión</v>
          </cell>
          <cell r="C580" t="str">
            <v>u</v>
          </cell>
          <cell r="D580">
            <v>1</v>
          </cell>
          <cell r="E580">
            <v>2</v>
          </cell>
          <cell r="F580">
            <v>2</v>
          </cell>
        </row>
        <row r="581">
          <cell r="A581" t="str">
            <v>TP03.032</v>
          </cell>
          <cell r="B581" t="str">
            <v>Adaptador Macho de 1" , PVC Presión</v>
          </cell>
          <cell r="C581" t="str">
            <v>u</v>
          </cell>
          <cell r="D581">
            <v>1</v>
          </cell>
          <cell r="E581">
            <v>3</v>
          </cell>
          <cell r="F581">
            <v>3</v>
          </cell>
        </row>
        <row r="582">
          <cell r="A582" t="str">
            <v>TP03.033</v>
          </cell>
          <cell r="B582" t="str">
            <v>Adaptador Macho de 1 1/2" , PVC Presión</v>
          </cell>
          <cell r="C582" t="str">
            <v>u</v>
          </cell>
          <cell r="D582">
            <v>1</v>
          </cell>
          <cell r="E582">
            <v>6.25</v>
          </cell>
          <cell r="F582">
            <v>6.25</v>
          </cell>
        </row>
        <row r="583">
          <cell r="A583" t="str">
            <v>TP03.034</v>
          </cell>
          <cell r="B583" t="str">
            <v>Adaptador Macho de 2" , PVC Presión</v>
          </cell>
          <cell r="C583" t="str">
            <v>u</v>
          </cell>
          <cell r="D583">
            <v>1</v>
          </cell>
          <cell r="E583">
            <v>8.25</v>
          </cell>
          <cell r="F583">
            <v>8.25</v>
          </cell>
        </row>
        <row r="584">
          <cell r="A584" t="str">
            <v>TP03.035</v>
          </cell>
          <cell r="B584" t="str">
            <v>Adaptador Macho de 3" , PVC Presión</v>
          </cell>
          <cell r="C584" t="str">
            <v>u</v>
          </cell>
          <cell r="D584">
            <v>1</v>
          </cell>
          <cell r="E584">
            <v>30</v>
          </cell>
          <cell r="F584">
            <v>30</v>
          </cell>
        </row>
        <row r="585">
          <cell r="A585" t="str">
            <v>TP03.036</v>
          </cell>
          <cell r="B585" t="str">
            <v>Adaptador Macho de 4" , PVC Presión</v>
          </cell>
          <cell r="C585" t="str">
            <v>u</v>
          </cell>
          <cell r="D585">
            <v>1</v>
          </cell>
          <cell r="E585">
            <v>48</v>
          </cell>
          <cell r="F585">
            <v>48</v>
          </cell>
        </row>
        <row r="586">
          <cell r="A586" t="str">
            <v>TP03.037</v>
          </cell>
          <cell r="B586" t="str">
            <v>Adaptador Hembra de 1/2" , PVC Presión</v>
          </cell>
          <cell r="C586" t="str">
            <v>u</v>
          </cell>
          <cell r="D586">
            <v>1</v>
          </cell>
          <cell r="E586">
            <v>1.5</v>
          </cell>
          <cell r="F586">
            <v>1.5</v>
          </cell>
        </row>
        <row r="587">
          <cell r="A587" t="str">
            <v>TP03.038</v>
          </cell>
          <cell r="B587" t="str">
            <v>Adaptador Hembra de 3/4" , PVC Presión</v>
          </cell>
          <cell r="C587" t="str">
            <v>u</v>
          </cell>
          <cell r="D587">
            <v>1</v>
          </cell>
          <cell r="E587">
            <v>2.1</v>
          </cell>
          <cell r="F587">
            <v>2.1</v>
          </cell>
        </row>
        <row r="588">
          <cell r="A588" t="str">
            <v>TP03.039</v>
          </cell>
          <cell r="B588" t="str">
            <v>Adaptador Hembra de 1" , PVC Presión</v>
          </cell>
          <cell r="C588" t="str">
            <v>u</v>
          </cell>
          <cell r="D588">
            <v>1</v>
          </cell>
          <cell r="E588">
            <v>3.35</v>
          </cell>
          <cell r="F588">
            <v>3.35</v>
          </cell>
        </row>
        <row r="589">
          <cell r="A589" t="str">
            <v>TP03.040</v>
          </cell>
          <cell r="B589" t="str">
            <v>Adaptador Hembra de 1 1/2" , PVC Presión</v>
          </cell>
          <cell r="C589" t="str">
            <v>u</v>
          </cell>
          <cell r="D589">
            <v>1</v>
          </cell>
          <cell r="E589">
            <v>6.95</v>
          </cell>
          <cell r="F589">
            <v>6.95</v>
          </cell>
        </row>
        <row r="590">
          <cell r="A590" t="str">
            <v>TP03.041</v>
          </cell>
          <cell r="B590" t="str">
            <v>Adaptador Hembra de 2" , PVC Presión</v>
          </cell>
          <cell r="C590" t="str">
            <v>u</v>
          </cell>
          <cell r="D590">
            <v>1</v>
          </cell>
          <cell r="E590">
            <v>9</v>
          </cell>
          <cell r="F590">
            <v>9</v>
          </cell>
        </row>
        <row r="591">
          <cell r="A591" t="str">
            <v>TP03.042</v>
          </cell>
          <cell r="B591" t="str">
            <v>Adaptador Hembra de 3" , PVC Presión</v>
          </cell>
          <cell r="C591" t="str">
            <v>u</v>
          </cell>
          <cell r="D591">
            <v>1</v>
          </cell>
          <cell r="E591">
            <v>20</v>
          </cell>
          <cell r="F591">
            <v>20</v>
          </cell>
        </row>
        <row r="592">
          <cell r="A592" t="str">
            <v>TP03.043</v>
          </cell>
          <cell r="B592" t="str">
            <v>Adaptador Hembra de 4" , PVC Presión</v>
          </cell>
          <cell r="C592" t="str">
            <v>u</v>
          </cell>
          <cell r="D592">
            <v>1</v>
          </cell>
          <cell r="E592">
            <v>28</v>
          </cell>
          <cell r="F592">
            <v>28</v>
          </cell>
        </row>
        <row r="593">
          <cell r="A593" t="str">
            <v>TP03.044</v>
          </cell>
          <cell r="B593" t="str">
            <v>Reducción  de 3/4" a 1/2", PVC Presión</v>
          </cell>
          <cell r="C593" t="str">
            <v>u</v>
          </cell>
          <cell r="D593">
            <v>1</v>
          </cell>
          <cell r="E593">
            <v>2</v>
          </cell>
          <cell r="F593">
            <v>2</v>
          </cell>
        </row>
        <row r="594">
          <cell r="A594" t="str">
            <v>TP03.045</v>
          </cell>
          <cell r="B594" t="str">
            <v>Reducción  de 1 1/2" a 1", PVC Presión</v>
          </cell>
          <cell r="C594" t="str">
            <v>u</v>
          </cell>
          <cell r="D594">
            <v>1</v>
          </cell>
          <cell r="E594">
            <v>8.25</v>
          </cell>
          <cell r="F594">
            <v>8.25</v>
          </cell>
        </row>
        <row r="595">
          <cell r="A595" t="str">
            <v>TP03.046</v>
          </cell>
          <cell r="B595" t="str">
            <v>Reducción  de 2" a 1", PVC Presión</v>
          </cell>
          <cell r="C595" t="str">
            <v>u</v>
          </cell>
          <cell r="D595">
            <v>1</v>
          </cell>
          <cell r="E595">
            <v>10</v>
          </cell>
          <cell r="F595">
            <v>10</v>
          </cell>
        </row>
        <row r="596">
          <cell r="A596" t="str">
            <v>TP03.047</v>
          </cell>
          <cell r="B596" t="str">
            <v>Reducción  de 4" a 2", PVC Presión</v>
          </cell>
          <cell r="C596" t="str">
            <v>u</v>
          </cell>
          <cell r="D596">
            <v>1</v>
          </cell>
          <cell r="E596">
            <v>39</v>
          </cell>
          <cell r="F596">
            <v>39</v>
          </cell>
        </row>
        <row r="597">
          <cell r="A597" t="str">
            <v>TP03.048</v>
          </cell>
          <cell r="B597" t="str">
            <v>Reducción  de 4" a 3", PVC Presión</v>
          </cell>
          <cell r="C597" t="str">
            <v>u</v>
          </cell>
          <cell r="D597">
            <v>1</v>
          </cell>
          <cell r="E597">
            <v>39</v>
          </cell>
          <cell r="F597">
            <v>39</v>
          </cell>
        </row>
        <row r="598">
          <cell r="A598" t="str">
            <v>PI</v>
          </cell>
          <cell r="B598" t="str">
            <v>PINTURAS</v>
          </cell>
        </row>
        <row r="599">
          <cell r="A599" t="str">
            <v>PI01.001</v>
          </cell>
          <cell r="B599" t="str">
            <v>Latex Eonómica o Pintex</v>
          </cell>
          <cell r="C599" t="str">
            <v>gl</v>
          </cell>
          <cell r="D599">
            <v>1</v>
          </cell>
          <cell r="E599">
            <v>66</v>
          </cell>
          <cell r="F599">
            <v>66</v>
          </cell>
        </row>
        <row r="600">
          <cell r="A600" t="str">
            <v>PI01.002</v>
          </cell>
          <cell r="B600" t="str">
            <v>Acrílica Blanco</v>
          </cell>
          <cell r="C600" t="str">
            <v>gl</v>
          </cell>
          <cell r="D600">
            <v>1</v>
          </cell>
          <cell r="E600">
            <v>105</v>
          </cell>
          <cell r="F600">
            <v>105</v>
          </cell>
        </row>
        <row r="601">
          <cell r="A601" t="str">
            <v>PI01.003</v>
          </cell>
          <cell r="B601" t="str">
            <v>Acrílica (colores separados)</v>
          </cell>
          <cell r="C601" t="str">
            <v>gl</v>
          </cell>
          <cell r="D601">
            <v>1</v>
          </cell>
          <cell r="E601">
            <v>275</v>
          </cell>
          <cell r="F601">
            <v>275</v>
          </cell>
        </row>
        <row r="602">
          <cell r="A602" t="str">
            <v>PI01.004</v>
          </cell>
          <cell r="B602" t="str">
            <v>Mantenimiento</v>
          </cell>
          <cell r="C602" t="str">
            <v>gl</v>
          </cell>
          <cell r="D602">
            <v>1</v>
          </cell>
          <cell r="E602">
            <v>158</v>
          </cell>
          <cell r="F602">
            <v>158</v>
          </cell>
        </row>
        <row r="603">
          <cell r="A603" t="str">
            <v>PI01.005</v>
          </cell>
          <cell r="B603" t="str">
            <v>Mantenimiento Oxido Rojo</v>
          </cell>
          <cell r="C603" t="str">
            <v>gl</v>
          </cell>
          <cell r="D603">
            <v>1</v>
          </cell>
          <cell r="E603">
            <v>153</v>
          </cell>
          <cell r="F603">
            <v>153</v>
          </cell>
        </row>
        <row r="604">
          <cell r="A604" t="str">
            <v>PI01.006</v>
          </cell>
          <cell r="B604" t="str">
            <v>Aguarrás Popular</v>
          </cell>
          <cell r="C604" t="str">
            <v>gl</v>
          </cell>
          <cell r="D604">
            <v>1</v>
          </cell>
          <cell r="E604">
            <v>50</v>
          </cell>
          <cell r="F604">
            <v>50</v>
          </cell>
        </row>
        <row r="605">
          <cell r="A605" t="str">
            <v>PI01.007</v>
          </cell>
          <cell r="B605" t="str">
            <v>Thinner "corriente"</v>
          </cell>
          <cell r="C605" t="str">
            <v>gl</v>
          </cell>
          <cell r="D605">
            <v>1</v>
          </cell>
          <cell r="E605">
            <v>49.95</v>
          </cell>
          <cell r="F605">
            <v>49.95</v>
          </cell>
        </row>
        <row r="606">
          <cell r="A606" t="str">
            <v>PI02.001</v>
          </cell>
          <cell r="B606" t="str">
            <v>Pintura Epóxica</v>
          </cell>
          <cell r="C606" t="str">
            <v>gl</v>
          </cell>
          <cell r="D606">
            <v>1</v>
          </cell>
          <cell r="E606">
            <v>315</v>
          </cell>
          <cell r="F606">
            <v>315</v>
          </cell>
        </row>
        <row r="607">
          <cell r="A607" t="str">
            <v>PI02.002</v>
          </cell>
          <cell r="B607" t="str">
            <v>Ferré</v>
          </cell>
          <cell r="C607" t="str">
            <v>gl</v>
          </cell>
          <cell r="D607">
            <v>1</v>
          </cell>
          <cell r="E607">
            <v>158</v>
          </cell>
          <cell r="F607">
            <v>158</v>
          </cell>
        </row>
        <row r="608">
          <cell r="A608" t="str">
            <v>PI03.001</v>
          </cell>
          <cell r="B608" t="str">
            <v>Piedra sobre Paredes</v>
          </cell>
          <cell r="C608" t="str">
            <v>m2</v>
          </cell>
          <cell r="D608">
            <v>1</v>
          </cell>
          <cell r="E608">
            <v>2</v>
          </cell>
          <cell r="F608">
            <v>2</v>
          </cell>
        </row>
        <row r="609">
          <cell r="A609" t="str">
            <v>PI04.001</v>
          </cell>
          <cell r="B609" t="str">
            <v>Brocha de 4"</v>
          </cell>
          <cell r="C609" t="str">
            <v>ud</v>
          </cell>
          <cell r="D609">
            <v>1.08</v>
          </cell>
          <cell r="E609">
            <v>12</v>
          </cell>
          <cell r="F609">
            <v>12.96</v>
          </cell>
        </row>
        <row r="610">
          <cell r="A610" t="str">
            <v>PZ</v>
          </cell>
          <cell r="B610" t="str">
            <v>PISOS Y ZOCALOS</v>
          </cell>
          <cell r="D610" t="str">
            <v/>
          </cell>
          <cell r="F610" t="str">
            <v/>
          </cell>
        </row>
        <row r="611">
          <cell r="A611" t="str">
            <v>PZ01.</v>
          </cell>
          <cell r="B611" t="str">
            <v>Piso y Zócalos</v>
          </cell>
          <cell r="D611" t="str">
            <v/>
          </cell>
          <cell r="F611" t="str">
            <v/>
          </cell>
        </row>
        <row r="612">
          <cell r="A612" t="str">
            <v>PZ01.001</v>
          </cell>
          <cell r="B612" t="str">
            <v>Piso granito Blanco, 30x30</v>
          </cell>
          <cell r="C612" t="str">
            <v>u</v>
          </cell>
          <cell r="D612">
            <v>1.08</v>
          </cell>
          <cell r="E612">
            <v>16</v>
          </cell>
          <cell r="F612">
            <v>17.28</v>
          </cell>
        </row>
        <row r="613">
          <cell r="A613" t="str">
            <v>PZ01.006</v>
          </cell>
          <cell r="B613" t="str">
            <v>Zócalos granito blanco, 30x07</v>
          </cell>
          <cell r="C613" t="str">
            <v>m</v>
          </cell>
          <cell r="D613">
            <v>1.08</v>
          </cell>
          <cell r="E613">
            <v>28.37</v>
          </cell>
          <cell r="F613">
            <v>30.64</v>
          </cell>
        </row>
        <row r="614">
          <cell r="A614" t="str">
            <v>PZ01.011</v>
          </cell>
          <cell r="B614" t="str">
            <v>Acarreo pisos de granito y mosaicos</v>
          </cell>
          <cell r="C614" t="str">
            <v>u</v>
          </cell>
          <cell r="D614">
            <v>1.08</v>
          </cell>
          <cell r="E614">
            <v>0.74</v>
          </cell>
          <cell r="F614">
            <v>0.8</v>
          </cell>
        </row>
        <row r="615">
          <cell r="A615" t="str">
            <v>PZ01.012</v>
          </cell>
          <cell r="B615" t="str">
            <v>Acarreo zócalos de granito y mosaicos</v>
          </cell>
          <cell r="C615" t="str">
            <v>u</v>
          </cell>
          <cell r="D615">
            <v>1.08</v>
          </cell>
          <cell r="E615">
            <v>0.18</v>
          </cell>
          <cell r="F615">
            <v>0.19</v>
          </cell>
        </row>
        <row r="616">
          <cell r="A616" t="str">
            <v>PZ01.013</v>
          </cell>
          <cell r="B616" t="str">
            <v>Derretido blanco</v>
          </cell>
          <cell r="C616" t="str">
            <v>fda</v>
          </cell>
          <cell r="D616">
            <v>1.08</v>
          </cell>
          <cell r="E616">
            <v>205.57</v>
          </cell>
          <cell r="F616">
            <v>222.02</v>
          </cell>
        </row>
        <row r="617">
          <cell r="A617" t="str">
            <v>PZ01.014</v>
          </cell>
          <cell r="B617" t="str">
            <v>Derretido gris</v>
          </cell>
          <cell r="C617" t="str">
            <v>fda</v>
          </cell>
          <cell r="D617">
            <v>1.08</v>
          </cell>
          <cell r="E617">
            <v>121.28</v>
          </cell>
          <cell r="F617">
            <v>130.97999999999999</v>
          </cell>
        </row>
        <row r="618">
          <cell r="A618" t="str">
            <v>PZ01.015</v>
          </cell>
          <cell r="B618" t="str">
            <v>Derretido Color</v>
          </cell>
          <cell r="C618" t="str">
            <v>fda</v>
          </cell>
          <cell r="D618">
            <v>1.08</v>
          </cell>
          <cell r="E618">
            <v>268.44</v>
          </cell>
          <cell r="F618">
            <v>289.92</v>
          </cell>
        </row>
        <row r="619">
          <cell r="A619" t="str">
            <v>PZ01.018</v>
          </cell>
          <cell r="B619" t="str">
            <v>Corte de chazos de 30</v>
          </cell>
          <cell r="C619" t="str">
            <v>u</v>
          </cell>
          <cell r="D619">
            <v>1</v>
          </cell>
          <cell r="E619">
            <v>2.1</v>
          </cell>
          <cell r="F619">
            <v>2.1</v>
          </cell>
        </row>
        <row r="620">
          <cell r="A620" t="str">
            <v>PZ01.021</v>
          </cell>
          <cell r="B620" t="str">
            <v>Corte de Zócalos</v>
          </cell>
          <cell r="C620" t="str">
            <v>u</v>
          </cell>
          <cell r="D620">
            <v>1</v>
          </cell>
          <cell r="E620">
            <v>1.3</v>
          </cell>
          <cell r="F620">
            <v>1.3</v>
          </cell>
        </row>
        <row r="621">
          <cell r="A621" t="str">
            <v>PZ01.103</v>
          </cell>
          <cell r="B621" t="str">
            <v>Cinta antiresvalante</v>
          </cell>
          <cell r="C621" t="str">
            <v>yd</v>
          </cell>
          <cell r="D621">
            <v>1.08</v>
          </cell>
          <cell r="E621">
            <v>21</v>
          </cell>
          <cell r="F621">
            <v>22.68</v>
          </cell>
        </row>
        <row r="622">
          <cell r="A622" t="str">
            <v>PZ01.201</v>
          </cell>
          <cell r="B622" t="str">
            <v>Vibrazo Rojo, 30x30</v>
          </cell>
          <cell r="C622" t="str">
            <v>u</v>
          </cell>
          <cell r="D622">
            <v>1.08</v>
          </cell>
          <cell r="E622">
            <v>26</v>
          </cell>
          <cell r="F622">
            <v>28.08</v>
          </cell>
        </row>
        <row r="623">
          <cell r="A623" t="str">
            <v>PZ01.202</v>
          </cell>
          <cell r="B623" t="str">
            <v>Vibrazo Gris, 30x30</v>
          </cell>
          <cell r="C623" t="str">
            <v>u</v>
          </cell>
          <cell r="D623">
            <v>1.08</v>
          </cell>
          <cell r="E623">
            <v>18.600000000000001</v>
          </cell>
          <cell r="F623">
            <v>20.09</v>
          </cell>
        </row>
        <row r="624">
          <cell r="A624" t="str">
            <v>PZ01.203</v>
          </cell>
          <cell r="B624" t="str">
            <v>Vibrazo Blanco, 30x30</v>
          </cell>
          <cell r="C624" t="str">
            <v>u</v>
          </cell>
          <cell r="D624">
            <v>1.08</v>
          </cell>
          <cell r="E624">
            <v>20.86</v>
          </cell>
          <cell r="F624">
            <v>22.53</v>
          </cell>
        </row>
        <row r="625">
          <cell r="A625" t="str">
            <v>PZ01.204</v>
          </cell>
          <cell r="B625" t="str">
            <v>Vibrazo Verde, 30x30</v>
          </cell>
          <cell r="C625" t="str">
            <v>u</v>
          </cell>
          <cell r="D625">
            <v>1.08</v>
          </cell>
          <cell r="E625">
            <v>33</v>
          </cell>
          <cell r="F625">
            <v>35.64</v>
          </cell>
        </row>
        <row r="626">
          <cell r="A626" t="str">
            <v>PZ01.221</v>
          </cell>
          <cell r="B626" t="str">
            <v>Zócalos Vibrazo Rojo</v>
          </cell>
          <cell r="C626" t="str">
            <v>ml</v>
          </cell>
          <cell r="D626">
            <v>1.08</v>
          </cell>
          <cell r="E626">
            <v>39</v>
          </cell>
          <cell r="F626">
            <v>42.12</v>
          </cell>
        </row>
        <row r="627">
          <cell r="A627" t="str">
            <v>PZ01.222</v>
          </cell>
          <cell r="B627" t="str">
            <v>Zócalos Vibrazo Gris</v>
          </cell>
          <cell r="C627" t="str">
            <v>ml</v>
          </cell>
          <cell r="D627">
            <v>1.08</v>
          </cell>
          <cell r="E627">
            <v>21</v>
          </cell>
          <cell r="F627">
            <v>22.68</v>
          </cell>
        </row>
        <row r="628">
          <cell r="A628" t="str">
            <v>PZ01.223</v>
          </cell>
          <cell r="B628" t="str">
            <v>Zócalos Vibrazo Blanco</v>
          </cell>
          <cell r="C628" t="str">
            <v>ml</v>
          </cell>
          <cell r="D628">
            <v>1.08</v>
          </cell>
          <cell r="E628">
            <v>28</v>
          </cell>
          <cell r="F628">
            <v>30.24</v>
          </cell>
        </row>
        <row r="629">
          <cell r="A629" t="str">
            <v>PZ01.224</v>
          </cell>
          <cell r="B629" t="str">
            <v>Zócalos Vibrazo Verde</v>
          </cell>
          <cell r="C629" t="str">
            <v>ml</v>
          </cell>
          <cell r="D629">
            <v>1.08</v>
          </cell>
          <cell r="E629">
            <v>53</v>
          </cell>
          <cell r="F629">
            <v>57.24</v>
          </cell>
        </row>
        <row r="630">
          <cell r="A630" t="str">
            <v>PZ01.241</v>
          </cell>
          <cell r="B630" t="str">
            <v>Escalones de Vibrazo Rojo Rústico</v>
          </cell>
          <cell r="C630" t="str">
            <v>ml</v>
          </cell>
          <cell r="D630">
            <v>1.08</v>
          </cell>
          <cell r="E630">
            <v>321.11</v>
          </cell>
          <cell r="F630">
            <v>346.8</v>
          </cell>
        </row>
        <row r="631">
          <cell r="A631" t="str">
            <v>PZ01.242</v>
          </cell>
          <cell r="B631" t="str">
            <v>Acarreo Escalones de Vibrazo Rústico</v>
          </cell>
          <cell r="C631" t="str">
            <v>ml</v>
          </cell>
          <cell r="D631">
            <v>1.08</v>
          </cell>
          <cell r="E631">
            <v>5.71</v>
          </cell>
          <cell r="F631">
            <v>6.17</v>
          </cell>
        </row>
        <row r="632">
          <cell r="A632" t="str">
            <v>PZ01.243</v>
          </cell>
          <cell r="B632" t="str">
            <v>Escalones de Vibrazo Gris</v>
          </cell>
          <cell r="C632" t="str">
            <v>ml</v>
          </cell>
          <cell r="D632">
            <v>1.08</v>
          </cell>
          <cell r="E632">
            <v>195</v>
          </cell>
          <cell r="F632">
            <v>210.6</v>
          </cell>
        </row>
        <row r="633">
          <cell r="A633" t="str">
            <v>PZ01.244</v>
          </cell>
          <cell r="B633" t="str">
            <v>Escalones de Vibrazo Blanco</v>
          </cell>
          <cell r="C633" t="str">
            <v>ml</v>
          </cell>
          <cell r="D633">
            <v>1.08</v>
          </cell>
          <cell r="E633">
            <v>245</v>
          </cell>
          <cell r="F633">
            <v>264.60000000000002</v>
          </cell>
        </row>
        <row r="634">
          <cell r="A634" t="str">
            <v>PZ01.245</v>
          </cell>
          <cell r="B634" t="str">
            <v>Escalones de Vibrazo Verde</v>
          </cell>
          <cell r="C634" t="str">
            <v>ml</v>
          </cell>
          <cell r="D634">
            <v>1.08</v>
          </cell>
          <cell r="E634">
            <v>420</v>
          </cell>
          <cell r="F634">
            <v>453.6</v>
          </cell>
        </row>
        <row r="635">
          <cell r="A635" t="str">
            <v>PZ01.301</v>
          </cell>
          <cell r="B635" t="str">
            <v>Madera (Nogal y Maple) para Pisos</v>
          </cell>
          <cell r="C635" t="str">
            <v>p2</v>
          </cell>
          <cell r="D635">
            <v>1</v>
          </cell>
          <cell r="E635">
            <v>48</v>
          </cell>
          <cell r="F635">
            <v>48</v>
          </cell>
        </row>
        <row r="636">
          <cell r="A636" t="str">
            <v>PZ01.302</v>
          </cell>
          <cell r="B636" t="str">
            <v>Madera (Yatabuas) para Pisos</v>
          </cell>
          <cell r="C636" t="str">
            <v>p2</v>
          </cell>
          <cell r="D636">
            <v>1</v>
          </cell>
          <cell r="E636">
            <v>48</v>
          </cell>
          <cell r="F636">
            <v>48</v>
          </cell>
        </row>
        <row r="637">
          <cell r="A637" t="str">
            <v>PZ01.311</v>
          </cell>
          <cell r="B637" t="str">
            <v>Pisos Madera (Importados) - Costo Menor</v>
          </cell>
          <cell r="C637" t="str">
            <v>m2</v>
          </cell>
          <cell r="D637">
            <v>1.08</v>
          </cell>
          <cell r="E637">
            <v>645</v>
          </cell>
          <cell r="F637">
            <v>696.6</v>
          </cell>
        </row>
        <row r="638">
          <cell r="A638" t="str">
            <v>PZ01.312</v>
          </cell>
          <cell r="B638" t="str">
            <v>Pisos Madera (Importados) - Costo Medio</v>
          </cell>
          <cell r="C638" t="str">
            <v>m2</v>
          </cell>
          <cell r="D638">
            <v>1.08</v>
          </cell>
          <cell r="E638">
            <v>750</v>
          </cell>
          <cell r="F638">
            <v>810</v>
          </cell>
        </row>
        <row r="639">
          <cell r="A639" t="str">
            <v>PZ01.313</v>
          </cell>
          <cell r="B639" t="str">
            <v>Pisos Madera (Importados) - Costo Mayor</v>
          </cell>
          <cell r="C639" t="str">
            <v>m2</v>
          </cell>
          <cell r="D639">
            <v>1.08</v>
          </cell>
          <cell r="E639">
            <v>817</v>
          </cell>
          <cell r="F639">
            <v>882.36</v>
          </cell>
        </row>
        <row r="640">
          <cell r="A640" t="str">
            <v>PZ01.321</v>
          </cell>
          <cell r="B640" t="str">
            <v>Acarreo Pisos de Madera</v>
          </cell>
          <cell r="C640" t="str">
            <v>m2</v>
          </cell>
          <cell r="D640">
            <v>1</v>
          </cell>
          <cell r="E640">
            <v>11</v>
          </cell>
          <cell r="F640">
            <v>11</v>
          </cell>
        </row>
        <row r="641">
          <cell r="A641" t="str">
            <v>PZ01.361</v>
          </cell>
          <cell r="B641" t="str">
            <v>Colocación de Pisos de Madera (Importados)</v>
          </cell>
          <cell r="C641" t="str">
            <v>m2</v>
          </cell>
          <cell r="D641">
            <v>1</v>
          </cell>
          <cell r="E641">
            <v>80</v>
          </cell>
          <cell r="F641">
            <v>80</v>
          </cell>
        </row>
        <row r="642">
          <cell r="A642" t="str">
            <v>PZ02.</v>
          </cell>
          <cell r="B642" t="str">
            <v>Pulimento y Brillado Pisos</v>
          </cell>
          <cell r="D642" t="str">
            <v/>
          </cell>
          <cell r="F642" t="str">
            <v/>
          </cell>
        </row>
        <row r="643">
          <cell r="A643" t="str">
            <v>PZ02.001</v>
          </cell>
          <cell r="B643" t="str">
            <v>Pulimento Básico</v>
          </cell>
          <cell r="C643" t="str">
            <v>m2</v>
          </cell>
          <cell r="D643">
            <v>1.08</v>
          </cell>
          <cell r="E643">
            <v>45</v>
          </cell>
          <cell r="F643">
            <v>48.6</v>
          </cell>
        </row>
        <row r="644">
          <cell r="A644" t="str">
            <v>PZ02.004</v>
          </cell>
          <cell r="B644" t="str">
            <v>Cristalizado pisos (40 m2 mínimo)</v>
          </cell>
          <cell r="C644" t="str">
            <v>m2</v>
          </cell>
          <cell r="D644">
            <v>1.08</v>
          </cell>
          <cell r="E644">
            <v>24.5</v>
          </cell>
          <cell r="F644">
            <v>26.46</v>
          </cell>
        </row>
        <row r="645">
          <cell r="A645" t="str">
            <v>PZ02.006</v>
          </cell>
          <cell r="B645" t="str">
            <v>Pulimento y Cristalizado</v>
          </cell>
          <cell r="C645" t="str">
            <v>m2</v>
          </cell>
          <cell r="D645">
            <v>1.08</v>
          </cell>
          <cell r="E645">
            <v>69.5</v>
          </cell>
          <cell r="F645">
            <v>75.06</v>
          </cell>
        </row>
        <row r="646">
          <cell r="A646" t="str">
            <v>PZ02.007</v>
          </cell>
          <cell r="B646" t="str">
            <v>Pulimento de Escalón</v>
          </cell>
          <cell r="C646" t="str">
            <v>m</v>
          </cell>
          <cell r="D646">
            <v>1.08</v>
          </cell>
          <cell r="E646">
            <v>54</v>
          </cell>
          <cell r="F646">
            <v>58.32</v>
          </cell>
        </row>
        <row r="647">
          <cell r="A647" t="str">
            <v>PZ02.009</v>
          </cell>
          <cell r="B647" t="str">
            <v>Limpieza de Zócalos</v>
          </cell>
          <cell r="C647" t="str">
            <v>m</v>
          </cell>
          <cell r="D647">
            <v>1.08</v>
          </cell>
          <cell r="E647">
            <v>13.93</v>
          </cell>
          <cell r="F647">
            <v>15.04</v>
          </cell>
        </row>
        <row r="648">
          <cell r="A648" t="str">
            <v>SC</v>
          </cell>
          <cell r="B648" t="str">
            <v>SELLADORES, CURADORES Y ENDURECEDORES CONCRETO</v>
          </cell>
          <cell r="D648" t="str">
            <v/>
          </cell>
          <cell r="F648" t="str">
            <v/>
          </cell>
        </row>
        <row r="649">
          <cell r="A649" t="str">
            <v>SC01.001</v>
          </cell>
          <cell r="B649" t="str">
            <v>Proshield transparente (Sella y Cura) (5 gls)</v>
          </cell>
          <cell r="C649" t="str">
            <v>gl</v>
          </cell>
          <cell r="D649">
            <v>1</v>
          </cell>
          <cell r="E649">
            <v>221</v>
          </cell>
          <cell r="F649">
            <v>221</v>
          </cell>
        </row>
        <row r="650">
          <cell r="A650" t="str">
            <v>SC01.002</v>
          </cell>
          <cell r="B650" t="str">
            <v>Tripleseal transparente (Sella, cura y endurece) (5 gls)</v>
          </cell>
          <cell r="C650" t="str">
            <v>gl</v>
          </cell>
          <cell r="D650">
            <v>1</v>
          </cell>
          <cell r="E650">
            <v>341</v>
          </cell>
          <cell r="F650">
            <v>341</v>
          </cell>
        </row>
        <row r="651">
          <cell r="A651" t="str">
            <v>SC01.003</v>
          </cell>
          <cell r="B651" t="str">
            <v>Silicone Seal (Protector Hormigón Visto) (5 gls)</v>
          </cell>
          <cell r="C651" t="str">
            <v>gl</v>
          </cell>
          <cell r="D651">
            <v>1</v>
          </cell>
          <cell r="E651">
            <v>280</v>
          </cell>
          <cell r="F651">
            <v>280</v>
          </cell>
        </row>
        <row r="652">
          <cell r="A652" t="str">
            <v>SC01.004</v>
          </cell>
          <cell r="B652" t="str">
            <v>Proplate (Endurecedor metálico para pisos) (100 lb)</v>
          </cell>
          <cell r="C652" t="str">
            <v>lb</v>
          </cell>
          <cell r="D652">
            <v>1</v>
          </cell>
          <cell r="E652">
            <v>9.65</v>
          </cell>
          <cell r="F652">
            <v>9.65</v>
          </cell>
        </row>
        <row r="653">
          <cell r="A653" t="str">
            <v>VP</v>
          </cell>
          <cell r="B653" t="str">
            <v>VENTANAS Y PUERTAS ALUMINIO</v>
          </cell>
          <cell r="D653" t="str">
            <v/>
          </cell>
          <cell r="F653" t="str">
            <v/>
          </cell>
        </row>
        <row r="654">
          <cell r="A654" t="str">
            <v>VP01.001</v>
          </cell>
          <cell r="B654" t="str">
            <v>Ventana Salomónica, manig., aluminio natural, vidrio natural</v>
          </cell>
          <cell r="C654" t="str">
            <v>p2</v>
          </cell>
          <cell r="D654">
            <v>1</v>
          </cell>
          <cell r="E654">
            <v>72</v>
          </cell>
          <cell r="F654">
            <v>72</v>
          </cell>
        </row>
        <row r="655">
          <cell r="A655" t="str">
            <v>VP01.002</v>
          </cell>
          <cell r="B655" t="str">
            <v>Ventana Salomónica, manig., aluminio blanco</v>
          </cell>
          <cell r="C655" t="str">
            <v>p2</v>
          </cell>
          <cell r="D655">
            <v>1</v>
          </cell>
          <cell r="E655">
            <v>78</v>
          </cell>
          <cell r="F655">
            <v>78</v>
          </cell>
        </row>
        <row r="656">
          <cell r="A656" t="str">
            <v>VP01.003</v>
          </cell>
          <cell r="B656" t="str">
            <v>Ventana Salomónica, manig., aluminio natural, vidrio bronce</v>
          </cell>
          <cell r="C656" t="str">
            <v>p2</v>
          </cell>
          <cell r="D656">
            <v>1</v>
          </cell>
          <cell r="E656">
            <v>80</v>
          </cell>
          <cell r="F656">
            <v>80</v>
          </cell>
        </row>
        <row r="657">
          <cell r="A657" t="str">
            <v>VP01.004</v>
          </cell>
          <cell r="B657" t="str">
            <v>Ventana Salomónica, manig., aluminio bronce</v>
          </cell>
          <cell r="C657" t="str">
            <v>p2</v>
          </cell>
          <cell r="D657">
            <v>1</v>
          </cell>
          <cell r="E657">
            <v>79.5</v>
          </cell>
          <cell r="F657">
            <v>79.5</v>
          </cell>
        </row>
        <row r="658">
          <cell r="A658" t="str">
            <v>VP01.005</v>
          </cell>
          <cell r="B658" t="str">
            <v>Ventana Salomónica, manig., aluminio bronce, vidrio bronce</v>
          </cell>
          <cell r="C658" t="str">
            <v>p2</v>
          </cell>
          <cell r="D658">
            <v>1</v>
          </cell>
          <cell r="E658">
            <v>82</v>
          </cell>
          <cell r="F658">
            <v>82</v>
          </cell>
        </row>
        <row r="659">
          <cell r="A659" t="str">
            <v>VP01.006</v>
          </cell>
          <cell r="B659" t="str">
            <v>Ventana Salomónica, manig., aluminio bronce, vidrio natural</v>
          </cell>
          <cell r="C659" t="str">
            <v>p2</v>
          </cell>
          <cell r="D659">
            <v>1</v>
          </cell>
          <cell r="E659">
            <v>74</v>
          </cell>
          <cell r="F659">
            <v>74</v>
          </cell>
        </row>
        <row r="660">
          <cell r="A660" t="str">
            <v>VP01.007</v>
          </cell>
          <cell r="B660" t="str">
            <v>Ventana Salomónica, palanca., aluminio y vidrio claro</v>
          </cell>
          <cell r="C660" t="str">
            <v>p2</v>
          </cell>
          <cell r="D660">
            <v>1</v>
          </cell>
          <cell r="E660">
            <v>53</v>
          </cell>
          <cell r="F660">
            <v>53</v>
          </cell>
        </row>
        <row r="661">
          <cell r="A661" t="str">
            <v>VP01.008</v>
          </cell>
          <cell r="B661" t="str">
            <v>Ventana Salomónica, palanca, aluminio blanco</v>
          </cell>
          <cell r="C661" t="str">
            <v>p2</v>
          </cell>
          <cell r="D661">
            <v>1</v>
          </cell>
          <cell r="E661">
            <v>59</v>
          </cell>
          <cell r="F661">
            <v>59</v>
          </cell>
        </row>
        <row r="662">
          <cell r="A662" t="str">
            <v>VP01.009</v>
          </cell>
          <cell r="B662" t="str">
            <v>Ventana Salomónica, palanca, aluminio natural, vidrio bronce</v>
          </cell>
          <cell r="C662" t="str">
            <v>p2</v>
          </cell>
          <cell r="D662">
            <v>1</v>
          </cell>
          <cell r="E662">
            <v>61</v>
          </cell>
          <cell r="F662">
            <v>61</v>
          </cell>
        </row>
        <row r="663">
          <cell r="A663" t="str">
            <v>VP01.010</v>
          </cell>
          <cell r="B663" t="str">
            <v>Ventana Salomónica, palanca, aluminio bronce, vidrio natural</v>
          </cell>
          <cell r="C663" t="str">
            <v>p2</v>
          </cell>
          <cell r="D663">
            <v>1</v>
          </cell>
          <cell r="E663">
            <v>55</v>
          </cell>
          <cell r="F663">
            <v>55</v>
          </cell>
        </row>
        <row r="664">
          <cell r="A664" t="str">
            <v>VP01.011</v>
          </cell>
          <cell r="B664" t="str">
            <v>Ventana Salomónica, palanca, aluminio bronce</v>
          </cell>
          <cell r="C664" t="str">
            <v>p2</v>
          </cell>
          <cell r="D664">
            <v>1</v>
          </cell>
          <cell r="E664">
            <v>60.5</v>
          </cell>
          <cell r="F664">
            <v>60.5</v>
          </cell>
        </row>
        <row r="665">
          <cell r="A665" t="str">
            <v>VP01.012</v>
          </cell>
          <cell r="B665" t="str">
            <v>Ventana Salomónica, palanca, aluminio bronce, vidrio bronce</v>
          </cell>
          <cell r="C665" t="str">
            <v>p2</v>
          </cell>
          <cell r="D665">
            <v>1</v>
          </cell>
          <cell r="E665">
            <v>63</v>
          </cell>
          <cell r="F665">
            <v>63</v>
          </cell>
        </row>
        <row r="666">
          <cell r="A666" t="str">
            <v>VP01.013</v>
          </cell>
          <cell r="B666" t="str">
            <v>Ventana abisagrada aluminio anod., vidrio claro</v>
          </cell>
          <cell r="C666" t="str">
            <v>p2</v>
          </cell>
          <cell r="D666">
            <v>1</v>
          </cell>
          <cell r="E666">
            <v>308</v>
          </cell>
          <cell r="F666">
            <v>308</v>
          </cell>
        </row>
        <row r="667">
          <cell r="A667" t="str">
            <v>VP01.014</v>
          </cell>
          <cell r="B667" t="str">
            <v>Ventana abisagrada aluminio anod., vidrio bronce</v>
          </cell>
          <cell r="C667" t="str">
            <v>p2</v>
          </cell>
          <cell r="D667">
            <v>1</v>
          </cell>
          <cell r="E667">
            <v>312.2</v>
          </cell>
          <cell r="F667">
            <v>312.2</v>
          </cell>
        </row>
        <row r="668">
          <cell r="A668" t="str">
            <v>VP01.015</v>
          </cell>
          <cell r="B668" t="str">
            <v>Ventana abisagrada aluminio bronce, vidrio claro</v>
          </cell>
          <cell r="C668" t="str">
            <v>p2</v>
          </cell>
          <cell r="D668">
            <v>1</v>
          </cell>
          <cell r="E668">
            <v>329</v>
          </cell>
          <cell r="F668">
            <v>329</v>
          </cell>
        </row>
        <row r="669">
          <cell r="A669" t="str">
            <v>VP01.016</v>
          </cell>
          <cell r="B669" t="str">
            <v>Ventana abisagrada aluminio bronce, vidrio bronce</v>
          </cell>
          <cell r="C669" t="str">
            <v>p2</v>
          </cell>
          <cell r="D669">
            <v>1</v>
          </cell>
          <cell r="E669">
            <v>333.2</v>
          </cell>
          <cell r="F669">
            <v>333.2</v>
          </cell>
        </row>
        <row r="670">
          <cell r="A670" t="str">
            <v>VP01.017</v>
          </cell>
          <cell r="B670" t="str">
            <v>Ventana proyectada aluminio anod., vidrio claro</v>
          </cell>
          <cell r="C670" t="str">
            <v>p2</v>
          </cell>
          <cell r="D670">
            <v>1</v>
          </cell>
          <cell r="E670">
            <v>336</v>
          </cell>
          <cell r="F670">
            <v>336</v>
          </cell>
        </row>
        <row r="671">
          <cell r="A671" t="str">
            <v>VP01.018</v>
          </cell>
          <cell r="B671" t="str">
            <v>Ventana proyectada aluminio anod., vidrio bronce</v>
          </cell>
          <cell r="C671" t="str">
            <v>p2</v>
          </cell>
          <cell r="D671">
            <v>1</v>
          </cell>
          <cell r="E671">
            <v>340.2</v>
          </cell>
          <cell r="F671">
            <v>340.2</v>
          </cell>
        </row>
        <row r="672">
          <cell r="A672" t="str">
            <v>VP01.019</v>
          </cell>
          <cell r="B672" t="str">
            <v>Ventana proyectada aluminio bronce, vidrio claro</v>
          </cell>
          <cell r="C672" t="str">
            <v>p2</v>
          </cell>
          <cell r="D672">
            <v>1</v>
          </cell>
          <cell r="E672">
            <v>359.8</v>
          </cell>
          <cell r="F672">
            <v>359.8</v>
          </cell>
        </row>
        <row r="673">
          <cell r="A673" t="str">
            <v>VP01.020</v>
          </cell>
          <cell r="B673" t="str">
            <v>Ventana proyectada aluminio bronce, vidrio bronce</v>
          </cell>
          <cell r="C673" t="str">
            <v>p2</v>
          </cell>
          <cell r="D673">
            <v>1</v>
          </cell>
          <cell r="E673">
            <v>364</v>
          </cell>
          <cell r="F673">
            <v>364</v>
          </cell>
        </row>
        <row r="674">
          <cell r="A674" t="str">
            <v>VP01.021</v>
          </cell>
          <cell r="B674" t="str">
            <v>Ventana corrediza aluminio anod., vidrio claro</v>
          </cell>
          <cell r="C674" t="str">
            <v>p2</v>
          </cell>
          <cell r="D674">
            <v>1</v>
          </cell>
          <cell r="E674">
            <v>86.5</v>
          </cell>
          <cell r="F674">
            <v>86.5</v>
          </cell>
        </row>
        <row r="675">
          <cell r="A675" t="str">
            <v>VP01.022</v>
          </cell>
          <cell r="B675" t="str">
            <v>Ventana corrediza aluminio anod., vidrio bronce</v>
          </cell>
          <cell r="C675" t="str">
            <v>p2</v>
          </cell>
          <cell r="D675">
            <v>1</v>
          </cell>
          <cell r="E675">
            <v>90.5</v>
          </cell>
          <cell r="F675">
            <v>90.5</v>
          </cell>
        </row>
        <row r="676">
          <cell r="A676" t="str">
            <v>VP01.023</v>
          </cell>
          <cell r="B676" t="str">
            <v>Ventana corrediza aluminio bronce, vidrio claro</v>
          </cell>
          <cell r="C676" t="str">
            <v>p2</v>
          </cell>
          <cell r="D676">
            <v>1</v>
          </cell>
          <cell r="E676">
            <v>92.5</v>
          </cell>
          <cell r="F676">
            <v>92.5</v>
          </cell>
        </row>
        <row r="677">
          <cell r="A677" t="str">
            <v>VP01.024</v>
          </cell>
          <cell r="B677" t="str">
            <v>Ventana corrediza aluminio bronce, vidrio bronce</v>
          </cell>
          <cell r="C677" t="str">
            <v>p2</v>
          </cell>
          <cell r="D677">
            <v>1</v>
          </cell>
          <cell r="E677">
            <v>96.5</v>
          </cell>
          <cell r="F677">
            <v>96.5</v>
          </cell>
        </row>
        <row r="678">
          <cell r="A678" t="str">
            <v>VP02.001</v>
          </cell>
          <cell r="B678" t="str">
            <v>Puerta corrediza 7', aluminio anod.,vidrio claro</v>
          </cell>
          <cell r="C678" t="str">
            <v>p2</v>
          </cell>
          <cell r="D678">
            <v>1</v>
          </cell>
          <cell r="E678">
            <v>88</v>
          </cell>
          <cell r="F678">
            <v>88</v>
          </cell>
        </row>
        <row r="679">
          <cell r="A679" t="str">
            <v>VP02.002</v>
          </cell>
          <cell r="B679" t="str">
            <v>Puerta corrediza 7', aluminio anod.,vidrio bronce</v>
          </cell>
          <cell r="C679" t="str">
            <v>p2</v>
          </cell>
          <cell r="D679">
            <v>1</v>
          </cell>
          <cell r="E679">
            <v>92</v>
          </cell>
          <cell r="F679">
            <v>92</v>
          </cell>
        </row>
        <row r="680">
          <cell r="A680" t="str">
            <v>VP02.003</v>
          </cell>
          <cell r="B680" t="str">
            <v>Puerta corrediza 7', aluminio bronce,vidrio claro</v>
          </cell>
          <cell r="C680" t="str">
            <v>p2</v>
          </cell>
          <cell r="D680">
            <v>1</v>
          </cell>
          <cell r="E680">
            <v>94</v>
          </cell>
          <cell r="F680">
            <v>94</v>
          </cell>
        </row>
        <row r="681">
          <cell r="A681" t="str">
            <v>VP02.004</v>
          </cell>
          <cell r="B681" t="str">
            <v>Puerta corrediza 7', aluminio bronce,vidrio bronce</v>
          </cell>
          <cell r="C681" t="str">
            <v>p2</v>
          </cell>
          <cell r="D681">
            <v>1</v>
          </cell>
          <cell r="E681">
            <v>98</v>
          </cell>
          <cell r="F681">
            <v>98</v>
          </cell>
        </row>
        <row r="682">
          <cell r="A682" t="str">
            <v>VP02.005</v>
          </cell>
          <cell r="B682" t="str">
            <v>Puerta corrediza 8', aluminio anod.,vidrio claro</v>
          </cell>
          <cell r="C682" t="str">
            <v>p2</v>
          </cell>
          <cell r="D682">
            <v>1</v>
          </cell>
          <cell r="E682">
            <v>91</v>
          </cell>
          <cell r="F682">
            <v>91</v>
          </cell>
        </row>
        <row r="683">
          <cell r="A683" t="str">
            <v>VP02.006</v>
          </cell>
          <cell r="B683" t="str">
            <v>Puerta corrediza 8', aluminio anod.,vidrio bronce</v>
          </cell>
          <cell r="C683" t="str">
            <v>p2</v>
          </cell>
          <cell r="D683">
            <v>1</v>
          </cell>
          <cell r="E683">
            <v>95</v>
          </cell>
          <cell r="F683">
            <v>95</v>
          </cell>
        </row>
        <row r="684">
          <cell r="A684" t="str">
            <v>VP02.007</v>
          </cell>
          <cell r="B684" t="str">
            <v>Puerta corrediza 8', aluminio bronce,vidrio claro</v>
          </cell>
          <cell r="C684" t="str">
            <v>p2</v>
          </cell>
          <cell r="D684">
            <v>1</v>
          </cell>
          <cell r="E684">
            <v>97</v>
          </cell>
          <cell r="F684">
            <v>97</v>
          </cell>
        </row>
        <row r="685">
          <cell r="A685" t="str">
            <v>VP02.008</v>
          </cell>
          <cell r="B685" t="str">
            <v>Puerta corrediza 8', aluminio bronce,vidrio bronce</v>
          </cell>
          <cell r="C685" t="str">
            <v>p2</v>
          </cell>
          <cell r="D685">
            <v>1</v>
          </cell>
          <cell r="E685">
            <v>101</v>
          </cell>
          <cell r="F685">
            <v>101</v>
          </cell>
        </row>
        <row r="686">
          <cell r="A686" t="str">
            <v>VP02.009</v>
          </cell>
          <cell r="B686" t="str">
            <v>Puerta comerc. 1 hoja, 1 m., aluminio anod.,v. claro</v>
          </cell>
          <cell r="C686" t="str">
            <v>u</v>
          </cell>
          <cell r="D686">
            <v>1</v>
          </cell>
          <cell r="E686">
            <v>6200</v>
          </cell>
          <cell r="F686">
            <v>6200</v>
          </cell>
        </row>
        <row r="687">
          <cell r="A687" t="str">
            <v>VP02.010</v>
          </cell>
          <cell r="B687" t="str">
            <v>Puerta comerc. 1 hoja, 1 m., aluminio anod.,v. bronce</v>
          </cell>
          <cell r="C687" t="str">
            <v>u</v>
          </cell>
          <cell r="D687">
            <v>1</v>
          </cell>
          <cell r="E687">
            <v>6300</v>
          </cell>
          <cell r="F687">
            <v>6300</v>
          </cell>
        </row>
        <row r="688">
          <cell r="A688" t="str">
            <v>VP02.011</v>
          </cell>
          <cell r="B688" t="str">
            <v>Puerta comerc. 1 hoja, 1 m., aluminio bronce,v. claro</v>
          </cell>
          <cell r="C688" t="str">
            <v>u</v>
          </cell>
          <cell r="D688">
            <v>1</v>
          </cell>
          <cell r="E688">
            <v>6550</v>
          </cell>
          <cell r="F688">
            <v>6550</v>
          </cell>
        </row>
        <row r="689">
          <cell r="A689" t="str">
            <v>VP02.012</v>
          </cell>
          <cell r="B689" t="str">
            <v>Puerta comerc. 1 hoja, 1 m., aluminio bronce,v. bronce</v>
          </cell>
          <cell r="C689" t="str">
            <v>u</v>
          </cell>
          <cell r="D689">
            <v>1</v>
          </cell>
          <cell r="E689">
            <v>6650</v>
          </cell>
          <cell r="F689">
            <v>6650</v>
          </cell>
        </row>
        <row r="690">
          <cell r="A690" t="str">
            <v>VP02.013</v>
          </cell>
          <cell r="B690" t="str">
            <v>Puerta comerc. 1 hoja, 1 m., aluminio natural,v. claro</v>
          </cell>
          <cell r="C690" t="str">
            <v>u</v>
          </cell>
          <cell r="D690">
            <v>1</v>
          </cell>
          <cell r="E690">
            <v>5850</v>
          </cell>
          <cell r="F690">
            <v>5850</v>
          </cell>
        </row>
        <row r="691">
          <cell r="A691" t="str">
            <v>VP02.014</v>
          </cell>
          <cell r="B691" t="str">
            <v>Puerta comerc. 2 hojas, 2 m., aluminio anod.,v. claro</v>
          </cell>
          <cell r="C691" t="str">
            <v>u</v>
          </cell>
          <cell r="D691">
            <v>1</v>
          </cell>
          <cell r="E691">
            <v>10100</v>
          </cell>
          <cell r="F691">
            <v>10100</v>
          </cell>
        </row>
        <row r="692">
          <cell r="A692" t="str">
            <v>VP02.015</v>
          </cell>
          <cell r="B692" t="str">
            <v>Puerta comerc. 2 hojas, 2 m., aluminio anod.,v. bronce</v>
          </cell>
          <cell r="C692" t="str">
            <v>u</v>
          </cell>
          <cell r="D692">
            <v>1</v>
          </cell>
          <cell r="E692">
            <v>10300</v>
          </cell>
          <cell r="F692">
            <v>10300</v>
          </cell>
        </row>
        <row r="693">
          <cell r="A693" t="str">
            <v>VP02.016</v>
          </cell>
          <cell r="B693" t="str">
            <v>Puerta comerc. 2 hojas, 2 m., aluminio bronce,v. claro</v>
          </cell>
          <cell r="C693" t="str">
            <v>u</v>
          </cell>
          <cell r="D693">
            <v>1</v>
          </cell>
          <cell r="E693">
            <v>10600</v>
          </cell>
          <cell r="F693">
            <v>10600</v>
          </cell>
        </row>
        <row r="694">
          <cell r="A694" t="str">
            <v>VP02.017</v>
          </cell>
          <cell r="B694" t="str">
            <v>Puerta comerc. 2 hojas, 2 m., aluminio bronce,v. bronce</v>
          </cell>
          <cell r="C694" t="str">
            <v>u</v>
          </cell>
          <cell r="D694">
            <v>1</v>
          </cell>
          <cell r="E694">
            <v>10800</v>
          </cell>
          <cell r="F694">
            <v>10800</v>
          </cell>
        </row>
        <row r="695">
          <cell r="A695" t="str">
            <v>VP02.018</v>
          </cell>
          <cell r="B695" t="str">
            <v>Puerta comerc. 2 hojas, 2 m., aluminio natural,v. claro</v>
          </cell>
          <cell r="C695" t="str">
            <v>u</v>
          </cell>
          <cell r="D695">
            <v>1</v>
          </cell>
          <cell r="E695">
            <v>9650</v>
          </cell>
          <cell r="F695">
            <v>9650</v>
          </cell>
        </row>
        <row r="696">
          <cell r="A696" t="str">
            <v>VP03.001</v>
          </cell>
          <cell r="B696" t="str">
            <v>Celosías de vidrio natural</v>
          </cell>
          <cell r="C696" t="str">
            <v>u</v>
          </cell>
          <cell r="D696">
            <v>1</v>
          </cell>
          <cell r="E696">
            <v>27.5</v>
          </cell>
          <cell r="F696">
            <v>27.5</v>
          </cell>
        </row>
        <row r="697">
          <cell r="A697" t="str">
            <v>VP03.002</v>
          </cell>
          <cell r="B697" t="str">
            <v>Celosías de vidrio bronce</v>
          </cell>
          <cell r="C697" t="str">
            <v>u</v>
          </cell>
          <cell r="D697">
            <v>1</v>
          </cell>
          <cell r="E697">
            <v>34</v>
          </cell>
          <cell r="F697">
            <v>34</v>
          </cell>
        </row>
        <row r="698">
          <cell r="A698" t="str">
            <v>VP03.003</v>
          </cell>
          <cell r="B698" t="str">
            <v>Operador de manigueta color aluminio o bronce</v>
          </cell>
          <cell r="C698" t="str">
            <v>u</v>
          </cell>
          <cell r="D698">
            <v>1</v>
          </cell>
          <cell r="E698">
            <v>31</v>
          </cell>
          <cell r="F698">
            <v>31</v>
          </cell>
        </row>
        <row r="699">
          <cell r="A699" t="str">
            <v>VP03.004</v>
          </cell>
          <cell r="B699" t="str">
            <v>Operador de palanca aluminio natural</v>
          </cell>
          <cell r="C699" t="str">
            <v>u</v>
          </cell>
          <cell r="D699">
            <v>1</v>
          </cell>
          <cell r="E699">
            <v>16</v>
          </cell>
          <cell r="F699">
            <v>16</v>
          </cell>
        </row>
        <row r="700">
          <cell r="A700" t="str">
            <v>VP03.005</v>
          </cell>
          <cell r="B700" t="str">
            <v>Acarreo normal</v>
          </cell>
          <cell r="C700" t="str">
            <v>%</v>
          </cell>
          <cell r="D700">
            <v>1</v>
          </cell>
          <cell r="E700">
            <v>2</v>
          </cell>
          <cell r="F700">
            <v>2</v>
          </cell>
        </row>
        <row r="701">
          <cell r="A701" t="str">
            <v>VP03.006</v>
          </cell>
          <cell r="B701" t="str">
            <v>Acarreo mínimo</v>
          </cell>
          <cell r="C701" t="str">
            <v>vje</v>
          </cell>
          <cell r="D701">
            <v>1</v>
          </cell>
          <cell r="E701">
            <v>50</v>
          </cell>
          <cell r="F701">
            <v>50</v>
          </cell>
        </row>
        <row r="702">
          <cell r="A702" t="str">
            <v>VP03.007</v>
          </cell>
          <cell r="B702" t="str">
            <v>Instalación altura normal</v>
          </cell>
          <cell r="C702" t="str">
            <v>p2</v>
          </cell>
          <cell r="D702">
            <v>1</v>
          </cell>
          <cell r="E702">
            <v>2.5</v>
          </cell>
          <cell r="F702">
            <v>2.5</v>
          </cell>
        </row>
        <row r="703">
          <cell r="A703" t="str">
            <v>VP03.008</v>
          </cell>
          <cell r="B703" t="str">
            <v>Instalación altura mayor de lo normal, se requiere escalera o andamio</v>
          </cell>
          <cell r="C703" t="str">
            <v>p2</v>
          </cell>
          <cell r="D703">
            <v>1</v>
          </cell>
          <cell r="E703">
            <v>2.5</v>
          </cell>
          <cell r="F703">
            <v>2.5</v>
          </cell>
        </row>
        <row r="704">
          <cell r="A704" t="str">
            <v>VP03.009</v>
          </cell>
          <cell r="B704" t="str">
            <v>Rejas por ventanas diseño sencillo</v>
          </cell>
          <cell r="C704" t="str">
            <v>pc</v>
          </cell>
          <cell r="D704">
            <v>1</v>
          </cell>
          <cell r="E704">
            <v>45</v>
          </cell>
          <cell r="F704">
            <v>45</v>
          </cell>
        </row>
        <row r="705">
          <cell r="A705" t="str">
            <v>VP03.010</v>
          </cell>
          <cell r="B705" t="str">
            <v>Silicone en tubo</v>
          </cell>
          <cell r="C705" t="str">
            <v>u</v>
          </cell>
          <cell r="D705">
            <v>1</v>
          </cell>
          <cell r="E705">
            <v>53</v>
          </cell>
          <cell r="F705">
            <v>53</v>
          </cell>
        </row>
        <row r="706">
          <cell r="A706" t="str">
            <v>VP03.011</v>
          </cell>
          <cell r="B706" t="str">
            <v>Masilla blanca "Relly-on", tubo</v>
          </cell>
          <cell r="C706" t="str">
            <v>u</v>
          </cell>
          <cell r="D706">
            <v>1</v>
          </cell>
          <cell r="E706">
            <v>23</v>
          </cell>
          <cell r="F706">
            <v>23</v>
          </cell>
        </row>
        <row r="707">
          <cell r="A707" t="str">
            <v>YS</v>
          </cell>
          <cell r="B707" t="str">
            <v>YESO Y PLAFONES (TODO COSTO)</v>
          </cell>
          <cell r="D707" t="str">
            <v/>
          </cell>
          <cell r="F707" t="str">
            <v/>
          </cell>
        </row>
        <row r="708">
          <cell r="A708" t="str">
            <v>YS01.001</v>
          </cell>
          <cell r="B708" t="str">
            <v>Cornisa</v>
          </cell>
          <cell r="C708" t="str">
            <v>m</v>
          </cell>
          <cell r="D708">
            <v>1</v>
          </cell>
          <cell r="E708">
            <v>80</v>
          </cell>
          <cell r="F708">
            <v>80</v>
          </cell>
        </row>
        <row r="709">
          <cell r="A709" t="str">
            <v>YS02.001</v>
          </cell>
          <cell r="B709" t="str">
            <v>Plafón (directo sobre la losa vaciada)</v>
          </cell>
          <cell r="C709" t="str">
            <v>m2</v>
          </cell>
          <cell r="D709">
            <v>1</v>
          </cell>
          <cell r="E709">
            <v>80</v>
          </cell>
          <cell r="F709">
            <v>80</v>
          </cell>
        </row>
        <row r="710">
          <cell r="A710" t="str">
            <v>YS02.002</v>
          </cell>
          <cell r="B710" t="str">
            <v>Plafón en láminas</v>
          </cell>
          <cell r="C710" t="str">
            <v>m2</v>
          </cell>
          <cell r="D710">
            <v>1</v>
          </cell>
          <cell r="E710">
            <v>280</v>
          </cell>
          <cell r="F710">
            <v>280</v>
          </cell>
        </row>
        <row r="711">
          <cell r="A711" t="str">
            <v>YS02.003</v>
          </cell>
          <cell r="B711" t="str">
            <v>Plafón Sheet Rock - Instalado</v>
          </cell>
          <cell r="C711" t="str">
            <v>m2</v>
          </cell>
          <cell r="D711">
            <v>1.08</v>
          </cell>
          <cell r="E711">
            <v>450</v>
          </cell>
          <cell r="F711">
            <v>486</v>
          </cell>
        </row>
        <row r="712">
          <cell r="A712" t="str">
            <v>YS03.001</v>
          </cell>
          <cell r="B712" t="str">
            <v>Rosetas</v>
          </cell>
          <cell r="C712" t="str">
            <v>u</v>
          </cell>
          <cell r="D712">
            <v>1</v>
          </cell>
          <cell r="E712">
            <v>100</v>
          </cell>
          <cell r="F712">
            <v>100</v>
          </cell>
        </row>
        <row r="716">
          <cell r="A716" t="str">
            <v>MO</v>
          </cell>
          <cell r="B716" t="str">
            <v xml:space="preserve">MANO DE OBRA </v>
          </cell>
          <cell r="D716" t="str">
            <v/>
          </cell>
          <cell r="F716" t="str">
            <v/>
          </cell>
        </row>
        <row r="717">
          <cell r="A717" t="str">
            <v>MO01-30.</v>
          </cell>
          <cell r="B717" t="str">
            <v>Albañileria</v>
          </cell>
          <cell r="D717" t="str">
            <v/>
          </cell>
          <cell r="F717" t="str">
            <v/>
          </cell>
        </row>
        <row r="718">
          <cell r="A718" t="str">
            <v>MO01.</v>
          </cell>
          <cell r="B718" t="str">
            <v>Colocacion de Bloques</v>
          </cell>
          <cell r="D718" t="str">
            <v/>
          </cell>
          <cell r="F718" t="str">
            <v/>
          </cell>
        </row>
        <row r="719">
          <cell r="A719" t="str">
            <v>MO01.001</v>
          </cell>
          <cell r="B719" t="str">
            <v>Colocación Bloques de 4"x8"x16"</v>
          </cell>
          <cell r="C719" t="str">
            <v>u</v>
          </cell>
          <cell r="D719">
            <v>1</v>
          </cell>
          <cell r="E719">
            <v>4.28</v>
          </cell>
          <cell r="F719">
            <v>4.28</v>
          </cell>
        </row>
        <row r="720">
          <cell r="A720" t="str">
            <v>MO01.002</v>
          </cell>
          <cell r="B720" t="str">
            <v>Colocación Bloques de 6"x8"x16"</v>
          </cell>
          <cell r="C720" t="str">
            <v>u</v>
          </cell>
          <cell r="D720">
            <v>1</v>
          </cell>
          <cell r="E720">
            <v>3.57</v>
          </cell>
          <cell r="F720">
            <v>3.57</v>
          </cell>
        </row>
        <row r="721">
          <cell r="A721" t="str">
            <v>MO01.004</v>
          </cell>
          <cell r="B721" t="str">
            <v>Colocación Bloques de 8"x8"x16"</v>
          </cell>
          <cell r="C721" t="str">
            <v>u</v>
          </cell>
          <cell r="D721">
            <v>1</v>
          </cell>
          <cell r="E721">
            <v>3.96</v>
          </cell>
          <cell r="F721">
            <v>3.96</v>
          </cell>
        </row>
        <row r="722">
          <cell r="A722" t="str">
            <v>MO01.008</v>
          </cell>
          <cell r="B722" t="str">
            <v>Colocación Bloques de Cristal</v>
          </cell>
          <cell r="C722" t="str">
            <v>u</v>
          </cell>
          <cell r="D722">
            <v>1</v>
          </cell>
          <cell r="E722">
            <v>21.75</v>
          </cell>
          <cell r="F722">
            <v>21.75</v>
          </cell>
        </row>
        <row r="723">
          <cell r="A723" t="str">
            <v>MO02.</v>
          </cell>
          <cell r="B723" t="str">
            <v>Empañetes, Terminación de Paredes y Plafones</v>
          </cell>
          <cell r="D723" t="str">
            <v/>
          </cell>
          <cell r="F723" t="str">
            <v/>
          </cell>
        </row>
        <row r="724">
          <cell r="A724" t="str">
            <v>MO02.001</v>
          </cell>
          <cell r="B724" t="str">
            <v>Fraguache con Escoba</v>
          </cell>
          <cell r="C724" t="str">
            <v>m2</v>
          </cell>
          <cell r="D724">
            <v>1</v>
          </cell>
          <cell r="E724">
            <v>4.13</v>
          </cell>
          <cell r="F724">
            <v>4.13</v>
          </cell>
        </row>
        <row r="725">
          <cell r="A725" t="str">
            <v>MO02.002</v>
          </cell>
          <cell r="B725" t="str">
            <v>Careteo con Llana</v>
          </cell>
          <cell r="C725" t="str">
            <v>m2</v>
          </cell>
          <cell r="D725">
            <v>1</v>
          </cell>
          <cell r="E725">
            <v>7</v>
          </cell>
          <cell r="F725">
            <v>7</v>
          </cell>
        </row>
        <row r="726">
          <cell r="A726" t="str">
            <v>MO02.010</v>
          </cell>
          <cell r="B726" t="str">
            <v>Empañete en Interior, en Paredes, Maestrado y a Plomo</v>
          </cell>
          <cell r="C726" t="str">
            <v>m2</v>
          </cell>
          <cell r="D726">
            <v>1</v>
          </cell>
          <cell r="E726">
            <v>19.11</v>
          </cell>
          <cell r="F726">
            <v>19.11</v>
          </cell>
        </row>
        <row r="727">
          <cell r="A727" t="str">
            <v>MO02.011</v>
          </cell>
          <cell r="B727" t="str">
            <v>Empañete Exterior, Maestrado y a Plomo (Sin Andamios)</v>
          </cell>
          <cell r="C727" t="str">
            <v>m2</v>
          </cell>
          <cell r="D727">
            <v>1</v>
          </cell>
          <cell r="E727">
            <v>34.549999999999997</v>
          </cell>
          <cell r="F727">
            <v>34.549999999999997</v>
          </cell>
        </row>
        <row r="728">
          <cell r="A728" t="str">
            <v>MO02.012</v>
          </cell>
          <cell r="B728" t="str">
            <v>Empañete en Techos y Vigas</v>
          </cell>
          <cell r="C728" t="str">
            <v>m2</v>
          </cell>
          <cell r="D728">
            <v>1</v>
          </cell>
          <cell r="E728">
            <v>38</v>
          </cell>
          <cell r="F728">
            <v>38</v>
          </cell>
        </row>
        <row r="729">
          <cell r="A729" t="str">
            <v>MO02.013</v>
          </cell>
          <cell r="B729" t="str">
            <v>Empañete en Columnas Aisladas desde 20 cms. de Ancho en Adelate</v>
          </cell>
          <cell r="C729" t="str">
            <v>m2</v>
          </cell>
          <cell r="D729">
            <v>1</v>
          </cell>
          <cell r="E729">
            <v>38.29</v>
          </cell>
          <cell r="F729">
            <v>38.29</v>
          </cell>
        </row>
        <row r="730">
          <cell r="A730" t="str">
            <v>MO02.014</v>
          </cell>
          <cell r="B730" t="str">
            <v>Empañete en Techos, Maestrado y a nivel, 2 cms. minimo</v>
          </cell>
          <cell r="C730" t="str">
            <v>m2</v>
          </cell>
          <cell r="D730">
            <v>1</v>
          </cell>
          <cell r="E730">
            <v>53.42</v>
          </cell>
          <cell r="F730">
            <v>53.42</v>
          </cell>
        </row>
        <row r="731">
          <cell r="A731" t="str">
            <v>MO02.024</v>
          </cell>
          <cell r="B731" t="str">
            <v>Cantos en Vigas, Columnas, Antepechos y Mochetas</v>
          </cell>
          <cell r="C731" t="str">
            <v>m</v>
          </cell>
          <cell r="D731">
            <v>1</v>
          </cell>
          <cell r="E731">
            <v>12.83</v>
          </cell>
          <cell r="F731">
            <v>12.83</v>
          </cell>
        </row>
        <row r="732">
          <cell r="A732" t="str">
            <v>MO02.026</v>
          </cell>
          <cell r="B732" t="str">
            <v>Goteros Colgantes</v>
          </cell>
          <cell r="C732" t="str">
            <v>m</v>
          </cell>
          <cell r="D732">
            <v>1</v>
          </cell>
          <cell r="E732">
            <v>29.62</v>
          </cell>
          <cell r="F732">
            <v>29.62</v>
          </cell>
        </row>
        <row r="733">
          <cell r="A733" t="str">
            <v>MO03.</v>
          </cell>
          <cell r="B733" t="str">
            <v>Terminacion de Techos e Impermeabilización</v>
          </cell>
          <cell r="D733" t="str">
            <v/>
          </cell>
          <cell r="F733" t="str">
            <v/>
          </cell>
        </row>
        <row r="734">
          <cell r="A734" t="str">
            <v>MO03.001</v>
          </cell>
          <cell r="B734" t="str">
            <v>Zabaleta en Techos</v>
          </cell>
          <cell r="C734" t="str">
            <v>m</v>
          </cell>
          <cell r="D734">
            <v>1</v>
          </cell>
          <cell r="E734">
            <v>13.33</v>
          </cell>
          <cell r="F734">
            <v>13.33</v>
          </cell>
        </row>
        <row r="735">
          <cell r="A735" t="str">
            <v>MO03.003</v>
          </cell>
          <cell r="B735" t="str">
            <v>Fino Techo Horizontal, sin Incluir Subida de Materiales</v>
          </cell>
          <cell r="C735" t="str">
            <v>m2</v>
          </cell>
          <cell r="D735">
            <v>1</v>
          </cell>
          <cell r="E735">
            <v>25</v>
          </cell>
          <cell r="F735">
            <v>25</v>
          </cell>
        </row>
        <row r="736">
          <cell r="A736" t="str">
            <v>MO03.004</v>
          </cell>
          <cell r="B736" t="str">
            <v>Fino Techo Inclinado, sin Incluir Subida de Materiales</v>
          </cell>
          <cell r="C736" t="str">
            <v>m2</v>
          </cell>
          <cell r="D736">
            <v>1</v>
          </cell>
          <cell r="E736">
            <v>15.38</v>
          </cell>
          <cell r="F736">
            <v>15.38</v>
          </cell>
        </row>
        <row r="737">
          <cell r="A737" t="str">
            <v>MO03.005</v>
          </cell>
          <cell r="B737" t="str">
            <v>Fino Techo Tipo Bermuda, Cantos, sin Incluir Subida de Materiales</v>
          </cell>
          <cell r="C737" t="str">
            <v>m2</v>
          </cell>
          <cell r="D737">
            <v>1</v>
          </cell>
          <cell r="E737">
            <v>58.46</v>
          </cell>
          <cell r="F737">
            <v>58.46</v>
          </cell>
        </row>
        <row r="738">
          <cell r="A738" t="str">
            <v>MO04.</v>
          </cell>
          <cell r="B738" t="str">
            <v>Construcción  de Pisos y Colocación de Zocalos</v>
          </cell>
          <cell r="D738" t="str">
            <v/>
          </cell>
          <cell r="F738" t="str">
            <v/>
          </cell>
        </row>
        <row r="739">
          <cell r="A739" t="str">
            <v>MO04.004</v>
          </cell>
          <cell r="B739" t="str">
            <v>Piso horm.  frotado con espesor de 10 cms</v>
          </cell>
          <cell r="C739" t="str">
            <v>m2</v>
          </cell>
          <cell r="D739">
            <v>1</v>
          </cell>
          <cell r="E739">
            <v>27.5</v>
          </cell>
          <cell r="F739">
            <v>27.5</v>
          </cell>
        </row>
        <row r="740">
          <cell r="A740" t="str">
            <v>MO04.006</v>
          </cell>
          <cell r="B740" t="str">
            <v>Piso horm.  pulido marcado a violín, con espesor de 10 cms</v>
          </cell>
          <cell r="C740" t="str">
            <v>m2</v>
          </cell>
          <cell r="D740">
            <v>1</v>
          </cell>
          <cell r="E740">
            <v>38.82</v>
          </cell>
          <cell r="F740">
            <v>38.82</v>
          </cell>
        </row>
        <row r="741">
          <cell r="A741" t="str">
            <v>MO04.014</v>
          </cell>
          <cell r="B741" t="str">
            <v>Colcoc. Piso mosaico de granito 30x30 cms</v>
          </cell>
          <cell r="C741" t="str">
            <v>m2</v>
          </cell>
          <cell r="D741">
            <v>1</v>
          </cell>
          <cell r="E741">
            <v>45</v>
          </cell>
          <cell r="F741">
            <v>45</v>
          </cell>
        </row>
        <row r="742">
          <cell r="A742" t="str">
            <v>MO04.020</v>
          </cell>
          <cell r="B742" t="str">
            <v>Coloc. Vibrazo 30x30 cms</v>
          </cell>
          <cell r="C742" t="str">
            <v>m2</v>
          </cell>
          <cell r="D742">
            <v>1</v>
          </cell>
          <cell r="E742">
            <v>45</v>
          </cell>
          <cell r="F742">
            <v>45</v>
          </cell>
        </row>
        <row r="743">
          <cell r="A743" t="str">
            <v>MO04.023</v>
          </cell>
          <cell r="B743" t="str">
            <v>Coloc. Pisos de Madera</v>
          </cell>
          <cell r="C743" t="str">
            <v>m2</v>
          </cell>
          <cell r="D743">
            <v>1</v>
          </cell>
          <cell r="E743">
            <v>73.13</v>
          </cell>
          <cell r="F743">
            <v>73.13</v>
          </cell>
        </row>
        <row r="744">
          <cell r="A744" t="str">
            <v>MO04.027</v>
          </cell>
          <cell r="B744" t="str">
            <v>Piso de Losetas Cerámica Importada 15x15 -20x20 cms, más Base y Nivel</v>
          </cell>
          <cell r="C744" t="str">
            <v>m2</v>
          </cell>
          <cell r="D744">
            <v>1</v>
          </cell>
          <cell r="E744">
            <v>91.58</v>
          </cell>
          <cell r="F744">
            <v>91.58</v>
          </cell>
        </row>
        <row r="745">
          <cell r="A745" t="str">
            <v>MO04.028</v>
          </cell>
          <cell r="B745" t="str">
            <v>Piso de Losetas Cerámica Criolla 15x15 -20x20 cms, sin Base y Nivel</v>
          </cell>
          <cell r="C745" t="str">
            <v>m2</v>
          </cell>
          <cell r="D745">
            <v>1</v>
          </cell>
          <cell r="E745">
            <v>72.5</v>
          </cell>
          <cell r="F745">
            <v>72.5</v>
          </cell>
        </row>
        <row r="746">
          <cell r="A746" t="str">
            <v>MO04.029</v>
          </cell>
          <cell r="B746" t="str">
            <v>Piso de Losetas Cerámica Criolla 15x15 -20x20 cms, más Base y Nivel</v>
          </cell>
          <cell r="C746" t="str">
            <v>m2</v>
          </cell>
          <cell r="D746">
            <v>1</v>
          </cell>
          <cell r="E746">
            <v>87</v>
          </cell>
          <cell r="F746">
            <v>87</v>
          </cell>
        </row>
        <row r="747">
          <cell r="A747" t="str">
            <v>MO04.036</v>
          </cell>
          <cell r="B747" t="str">
            <v>Colocación de Zócalos Corrientes</v>
          </cell>
          <cell r="C747" t="str">
            <v>m</v>
          </cell>
          <cell r="D747">
            <v>1</v>
          </cell>
          <cell r="E747">
            <v>19.77</v>
          </cell>
          <cell r="F747">
            <v>19.77</v>
          </cell>
        </row>
        <row r="748">
          <cell r="A748" t="str">
            <v>MO04.037</v>
          </cell>
          <cell r="B748" t="str">
            <v>Colocación de Zócalos Corrientes para Escaleras</v>
          </cell>
          <cell r="C748" t="str">
            <v>m</v>
          </cell>
          <cell r="D748">
            <v>1</v>
          </cell>
          <cell r="E748">
            <v>33.46</v>
          </cell>
          <cell r="F748">
            <v>33.46</v>
          </cell>
        </row>
        <row r="749">
          <cell r="A749" t="str">
            <v>MO04.042</v>
          </cell>
          <cell r="B749" t="str">
            <v>Quicios y Entre Puertas</v>
          </cell>
          <cell r="C749" t="str">
            <v>m</v>
          </cell>
          <cell r="D749">
            <v>1</v>
          </cell>
          <cell r="E749">
            <v>32.83</v>
          </cell>
          <cell r="F749">
            <v>32.83</v>
          </cell>
        </row>
        <row r="750">
          <cell r="A750" t="str">
            <v>MO05.</v>
          </cell>
          <cell r="B750" t="str">
            <v>Escalones</v>
          </cell>
        </row>
        <row r="751">
          <cell r="A751" t="str">
            <v>MO05.001</v>
          </cell>
          <cell r="B751" t="str">
            <v>Confección de Escalones Revestidos de Mezcla</v>
          </cell>
          <cell r="C751" t="str">
            <v>m</v>
          </cell>
          <cell r="D751">
            <v>1</v>
          </cell>
          <cell r="E751">
            <v>48.13</v>
          </cell>
          <cell r="F751">
            <v>48.13</v>
          </cell>
        </row>
        <row r="752">
          <cell r="A752" t="str">
            <v>MO05.002</v>
          </cell>
          <cell r="B752" t="str">
            <v>Terminación de Escalones de Cemento</v>
          </cell>
          <cell r="C752" t="str">
            <v>m</v>
          </cell>
          <cell r="D752">
            <v>1</v>
          </cell>
          <cell r="E752">
            <v>28.52</v>
          </cell>
          <cell r="F752">
            <v>28.52</v>
          </cell>
        </row>
        <row r="753">
          <cell r="A753" t="str">
            <v>MO05.003</v>
          </cell>
          <cell r="B753" t="str">
            <v>Montura Escalones en Escaleras (Huellas y Contra Huellas)</v>
          </cell>
          <cell r="C753" t="str">
            <v>m</v>
          </cell>
          <cell r="D753">
            <v>1</v>
          </cell>
          <cell r="E753">
            <v>54.38</v>
          </cell>
          <cell r="F753">
            <v>54.38</v>
          </cell>
        </row>
        <row r="754">
          <cell r="A754" t="str">
            <v>MO05.004</v>
          </cell>
          <cell r="B754" t="str">
            <v>Revestimiento Escalones en mosaicos</v>
          </cell>
          <cell r="C754" t="str">
            <v>m</v>
          </cell>
          <cell r="D754">
            <v>1</v>
          </cell>
          <cell r="E754">
            <v>45.79</v>
          </cell>
          <cell r="F754">
            <v>45.79</v>
          </cell>
        </row>
        <row r="755">
          <cell r="A755" t="str">
            <v>MO05.005</v>
          </cell>
          <cell r="B755" t="str">
            <v>Montura de escalones en accesos de granito</v>
          </cell>
          <cell r="C755" t="str">
            <v>m</v>
          </cell>
          <cell r="D755">
            <v>1</v>
          </cell>
          <cell r="E755">
            <v>62.14</v>
          </cell>
          <cell r="F755">
            <v>62.14</v>
          </cell>
        </row>
        <row r="756">
          <cell r="A756" t="str">
            <v>MO05.006</v>
          </cell>
          <cell r="B756" t="str">
            <v>Escalones revestido cerámica criolla, incluyendo huella y c. h. y vuelo</v>
          </cell>
          <cell r="C756" t="str">
            <v>m</v>
          </cell>
          <cell r="D756">
            <v>1</v>
          </cell>
          <cell r="E756">
            <v>88.78</v>
          </cell>
          <cell r="F756">
            <v>88.78</v>
          </cell>
        </row>
        <row r="757">
          <cell r="A757" t="str">
            <v>MO05.007</v>
          </cell>
          <cell r="B757" t="str">
            <v>Escalones revestido cerámica importada, incluyendo huella y c. h. y vuelo</v>
          </cell>
          <cell r="C757" t="str">
            <v>m</v>
          </cell>
          <cell r="D757">
            <v>1</v>
          </cell>
          <cell r="E757">
            <v>108.75</v>
          </cell>
          <cell r="F757">
            <v>108.75</v>
          </cell>
        </row>
        <row r="758">
          <cell r="A758" t="str">
            <v>MO05.008</v>
          </cell>
          <cell r="B758" t="str">
            <v>Confección escalones y revestimiento de ladrillos</v>
          </cell>
          <cell r="C758" t="str">
            <v>m</v>
          </cell>
          <cell r="D758">
            <v>1</v>
          </cell>
          <cell r="E758">
            <v>111.54</v>
          </cell>
          <cell r="F758">
            <v>111.54</v>
          </cell>
        </row>
        <row r="759">
          <cell r="A759" t="str">
            <v>MO05.009</v>
          </cell>
          <cell r="B759" t="str">
            <v>Revestimiento de escalones en ladrillos</v>
          </cell>
          <cell r="C759" t="str">
            <v>m</v>
          </cell>
          <cell r="D759">
            <v>1</v>
          </cell>
          <cell r="E759">
            <v>91.58</v>
          </cell>
          <cell r="F759">
            <v>91.58</v>
          </cell>
        </row>
        <row r="760">
          <cell r="A760" t="str">
            <v>MO06.</v>
          </cell>
          <cell r="B760" t="str">
            <v>Revestimiento de Paredes de Baños</v>
          </cell>
          <cell r="D760" t="str">
            <v/>
          </cell>
          <cell r="F760" t="str">
            <v/>
          </cell>
        </row>
        <row r="761">
          <cell r="A761" t="str">
            <v>MO06.007</v>
          </cell>
          <cell r="B761" t="str">
            <v>Bañera revestida de azulejos, altura 30 cms, hasta 1.50 m. de largo</v>
          </cell>
          <cell r="C761" t="str">
            <v>u</v>
          </cell>
          <cell r="D761">
            <v>1</v>
          </cell>
          <cell r="E761">
            <v>580</v>
          </cell>
          <cell r="F761">
            <v>580</v>
          </cell>
        </row>
        <row r="762">
          <cell r="A762" t="str">
            <v>MO06.008</v>
          </cell>
          <cell r="B762" t="str">
            <v>Bañera revestida de azulejos, altura 30 cms, 1.50 - 1.80 m de largo</v>
          </cell>
          <cell r="C762" t="str">
            <v>u</v>
          </cell>
          <cell r="D762">
            <v>1</v>
          </cell>
          <cell r="E762">
            <v>669.23</v>
          </cell>
          <cell r="F762">
            <v>669.23</v>
          </cell>
        </row>
        <row r="763">
          <cell r="A763" t="str">
            <v>MO06.014</v>
          </cell>
          <cell r="B763" t="str">
            <v>Mochetas de cerámica importada</v>
          </cell>
          <cell r="C763" t="str">
            <v>m</v>
          </cell>
          <cell r="D763">
            <v>1</v>
          </cell>
          <cell r="E763">
            <v>66.92</v>
          </cell>
          <cell r="F763">
            <v>66.92</v>
          </cell>
        </row>
        <row r="764">
          <cell r="A764" t="str">
            <v>MO06.015</v>
          </cell>
          <cell r="B764" t="str">
            <v>Coloc en paredes de losetas de cerámica criolla de 15x15 - 20x20 cms</v>
          </cell>
          <cell r="C764" t="str">
            <v>m</v>
          </cell>
          <cell r="D764">
            <v>1</v>
          </cell>
          <cell r="E764">
            <v>82.86</v>
          </cell>
          <cell r="F764">
            <v>82.86</v>
          </cell>
        </row>
        <row r="765">
          <cell r="A765" t="str">
            <v>MO06.016</v>
          </cell>
          <cell r="B765" t="str">
            <v>Coloc en paredes de losetas de cerámica importada de 15x15 - 20x20 cms</v>
          </cell>
          <cell r="C765" t="str">
            <v>m2</v>
          </cell>
          <cell r="D765">
            <v>1</v>
          </cell>
          <cell r="E765">
            <v>91.58</v>
          </cell>
          <cell r="F765">
            <v>91.58</v>
          </cell>
        </row>
        <row r="766">
          <cell r="A766" t="str">
            <v>MO06.019</v>
          </cell>
          <cell r="B766" t="str">
            <v>Hechura de base para baño</v>
          </cell>
          <cell r="C766" t="str">
            <v>u</v>
          </cell>
          <cell r="D766">
            <v>1</v>
          </cell>
          <cell r="E766">
            <v>72.5</v>
          </cell>
          <cell r="F766">
            <v>72.5</v>
          </cell>
        </row>
        <row r="767">
          <cell r="A767" t="str">
            <v>MO06.020</v>
          </cell>
          <cell r="B767" t="str">
            <v>Hechura de meseta de baño</v>
          </cell>
          <cell r="C767" t="str">
            <v>u</v>
          </cell>
          <cell r="D767">
            <v>1</v>
          </cell>
          <cell r="E767">
            <v>189.13</v>
          </cell>
          <cell r="F767">
            <v>189.13</v>
          </cell>
        </row>
        <row r="768">
          <cell r="A768" t="str">
            <v>MO06.025</v>
          </cell>
          <cell r="B768" t="str">
            <v>Preparación superficie para colocar pisos</v>
          </cell>
          <cell r="C768" t="str">
            <v>m2</v>
          </cell>
          <cell r="D768">
            <v>1</v>
          </cell>
          <cell r="E768">
            <v>9.89</v>
          </cell>
          <cell r="F768">
            <v>9.89</v>
          </cell>
        </row>
        <row r="769">
          <cell r="A769" t="str">
            <v>MO07.</v>
          </cell>
          <cell r="B769" t="str">
            <v>Instalación Accesorios de Baños</v>
          </cell>
          <cell r="D769" t="str">
            <v/>
          </cell>
          <cell r="F769" t="str">
            <v/>
          </cell>
        </row>
        <row r="770">
          <cell r="A770" t="str">
            <v>MO07.004</v>
          </cell>
          <cell r="B770" t="str">
            <v>Montura de botiquin de lujo, empotrado</v>
          </cell>
          <cell r="C770" t="str">
            <v>u</v>
          </cell>
          <cell r="D770">
            <v>1</v>
          </cell>
          <cell r="E770">
            <v>435</v>
          </cell>
          <cell r="F770">
            <v>435</v>
          </cell>
        </row>
        <row r="771">
          <cell r="A771" t="str">
            <v>MO07.005</v>
          </cell>
          <cell r="B771" t="str">
            <v>Montura de accesorios empotrados</v>
          </cell>
          <cell r="C771" t="str">
            <v>u</v>
          </cell>
          <cell r="D771">
            <v>1</v>
          </cell>
          <cell r="E771">
            <v>62.14</v>
          </cell>
          <cell r="F771">
            <v>62.14</v>
          </cell>
        </row>
        <row r="772">
          <cell r="A772" t="str">
            <v>MO07.006</v>
          </cell>
          <cell r="B772" t="str">
            <v>Montura de accesorios atornillados</v>
          </cell>
          <cell r="C772" t="str">
            <v>u</v>
          </cell>
          <cell r="D772">
            <v>1</v>
          </cell>
          <cell r="E772">
            <v>43.5</v>
          </cell>
          <cell r="F772">
            <v>43.5</v>
          </cell>
        </row>
        <row r="773">
          <cell r="A773" t="str">
            <v>MO07.007</v>
          </cell>
          <cell r="B773" t="str">
            <v>Montura de papelera porta servilletas</v>
          </cell>
          <cell r="C773" t="str">
            <v>u</v>
          </cell>
          <cell r="D773">
            <v>1</v>
          </cell>
          <cell r="E773">
            <v>43.5</v>
          </cell>
          <cell r="F773">
            <v>43.5</v>
          </cell>
        </row>
        <row r="774">
          <cell r="A774" t="str">
            <v>MO07.008</v>
          </cell>
          <cell r="B774" t="str">
            <v>Montura de repisas corrientes para baños</v>
          </cell>
          <cell r="C774" t="str">
            <v>u</v>
          </cell>
          <cell r="D774">
            <v>1</v>
          </cell>
          <cell r="E774">
            <v>72.5</v>
          </cell>
          <cell r="F774">
            <v>72.5</v>
          </cell>
        </row>
        <row r="775">
          <cell r="A775" t="str">
            <v>MO10.</v>
          </cell>
          <cell r="B775" t="str">
            <v>Trabajos en marmol</v>
          </cell>
          <cell r="D775" t="str">
            <v/>
          </cell>
          <cell r="F775" t="str">
            <v/>
          </cell>
        </row>
        <row r="776">
          <cell r="A776" t="str">
            <v>MO10.001</v>
          </cell>
          <cell r="B776" t="str">
            <v>Colocació Pisos de mármol</v>
          </cell>
          <cell r="C776" t="str">
            <v>m2</v>
          </cell>
          <cell r="D776">
            <v>1</v>
          </cell>
          <cell r="E776">
            <v>118.42</v>
          </cell>
          <cell r="F776">
            <v>118.42</v>
          </cell>
        </row>
        <row r="777">
          <cell r="A777" t="str">
            <v>MO13.</v>
          </cell>
          <cell r="B777" t="str">
            <v>Lavaderos, Vertederos, Desagues, Registros y Trampas de Grasas</v>
          </cell>
          <cell r="D777" t="str">
            <v/>
          </cell>
          <cell r="F777" t="str">
            <v/>
          </cell>
        </row>
        <row r="778">
          <cell r="A778" t="str">
            <v>MO13.007</v>
          </cell>
          <cell r="B778" t="str">
            <v>Confección de registro de más  de 60 x 60 cms (medida interior)</v>
          </cell>
          <cell r="C778" t="str">
            <v>u</v>
          </cell>
          <cell r="D778">
            <v>1</v>
          </cell>
          <cell r="E778">
            <v>308</v>
          </cell>
          <cell r="F778">
            <v>308</v>
          </cell>
        </row>
        <row r="779">
          <cell r="A779" t="str">
            <v>MO13.008</v>
          </cell>
          <cell r="B779" t="str">
            <v>Confección de trampa de grasa</v>
          </cell>
          <cell r="C779" t="str">
            <v>u</v>
          </cell>
          <cell r="D779">
            <v>1</v>
          </cell>
          <cell r="E779">
            <v>510</v>
          </cell>
          <cell r="F779">
            <v>510</v>
          </cell>
        </row>
        <row r="780">
          <cell r="A780" t="str">
            <v>MO14.</v>
          </cell>
          <cell r="B780" t="str">
            <v>Labores Varias</v>
          </cell>
          <cell r="D780" t="str">
            <v/>
          </cell>
          <cell r="F780" t="str">
            <v/>
          </cell>
        </row>
        <row r="781">
          <cell r="A781" t="str">
            <v>MO14.006</v>
          </cell>
          <cell r="B781" t="str">
            <v>Llenar huecos de bloques, bastones a 0.60m.</v>
          </cell>
          <cell r="C781" t="str">
            <v>u</v>
          </cell>
          <cell r="D781">
            <v>1</v>
          </cell>
          <cell r="E781">
            <v>0.49</v>
          </cell>
          <cell r="F781">
            <v>0.49</v>
          </cell>
        </row>
        <row r="782">
          <cell r="A782" t="str">
            <v>MO14.010</v>
          </cell>
          <cell r="B782" t="str">
            <v>Corte y amarre de varillas en bloques, bastones a 0.60 m.</v>
          </cell>
          <cell r="C782" t="str">
            <v>u</v>
          </cell>
          <cell r="D782">
            <v>1</v>
          </cell>
          <cell r="E782">
            <v>0.25</v>
          </cell>
          <cell r="F782">
            <v>0.25</v>
          </cell>
        </row>
        <row r="783">
          <cell r="A783" t="str">
            <v>MO15.</v>
          </cell>
          <cell r="B783" t="str">
            <v>Subir Materiales por Planta</v>
          </cell>
          <cell r="D783" t="str">
            <v/>
          </cell>
          <cell r="F783" t="str">
            <v/>
          </cell>
        </row>
        <row r="784">
          <cell r="A784" t="str">
            <v>MO15.001</v>
          </cell>
          <cell r="B784" t="str">
            <v>Subir ARENA por meseta un nivel</v>
          </cell>
          <cell r="C784" t="str">
            <v>m3</v>
          </cell>
          <cell r="D784">
            <v>1</v>
          </cell>
          <cell r="E784">
            <v>25.31</v>
          </cell>
          <cell r="F784">
            <v>25.31</v>
          </cell>
        </row>
        <row r="785">
          <cell r="A785" t="str">
            <v>MO15.002</v>
          </cell>
          <cell r="B785" t="str">
            <v>Subir ARENA por polea al 2do. nivel</v>
          </cell>
          <cell r="C785" t="str">
            <v>m3</v>
          </cell>
          <cell r="D785">
            <v>1</v>
          </cell>
          <cell r="E785">
            <v>40.5</v>
          </cell>
          <cell r="F785">
            <v>40.5</v>
          </cell>
        </row>
        <row r="786">
          <cell r="A786" t="str">
            <v>MO15.003</v>
          </cell>
          <cell r="B786" t="str">
            <v>Subir ARENA por polea al 3er. nivel</v>
          </cell>
          <cell r="C786" t="str">
            <v>m3</v>
          </cell>
          <cell r="D786">
            <v>1</v>
          </cell>
          <cell r="E786">
            <v>57.86</v>
          </cell>
          <cell r="F786">
            <v>57.86</v>
          </cell>
        </row>
        <row r="787">
          <cell r="A787" t="str">
            <v>MO15.004</v>
          </cell>
          <cell r="B787" t="str">
            <v>Subir ARENA por polea al 4to. nivel</v>
          </cell>
          <cell r="C787" t="str">
            <v>m3</v>
          </cell>
          <cell r="D787">
            <v>1</v>
          </cell>
          <cell r="E787">
            <v>81</v>
          </cell>
          <cell r="F787">
            <v>81</v>
          </cell>
        </row>
        <row r="788">
          <cell r="A788" t="str">
            <v>MO15.007</v>
          </cell>
          <cell r="B788" t="str">
            <v>Subir GRAVA por meseta un nivel</v>
          </cell>
          <cell r="C788" t="str">
            <v>m3</v>
          </cell>
          <cell r="D788">
            <v>1</v>
          </cell>
          <cell r="E788">
            <v>33.75</v>
          </cell>
          <cell r="F788">
            <v>33.75</v>
          </cell>
        </row>
        <row r="789">
          <cell r="A789" t="str">
            <v>MO15.008</v>
          </cell>
          <cell r="B789" t="str">
            <v>Subir GRAVA por polea al 2do. nivel</v>
          </cell>
          <cell r="C789" t="str">
            <v>m3</v>
          </cell>
          <cell r="D789">
            <v>1</v>
          </cell>
          <cell r="E789">
            <v>50.63</v>
          </cell>
          <cell r="F789">
            <v>50.63</v>
          </cell>
        </row>
        <row r="790">
          <cell r="A790" t="str">
            <v>MO15.009</v>
          </cell>
          <cell r="B790" t="str">
            <v>Subir GRAVA por polea al 3er. nivel</v>
          </cell>
          <cell r="C790" t="str">
            <v>m3</v>
          </cell>
          <cell r="D790">
            <v>1</v>
          </cell>
          <cell r="E790">
            <v>81</v>
          </cell>
          <cell r="F790">
            <v>81</v>
          </cell>
        </row>
        <row r="791">
          <cell r="A791" t="str">
            <v>MO15.010</v>
          </cell>
          <cell r="B791" t="str">
            <v>Subir GRAVA por polea al 4to. nivel</v>
          </cell>
          <cell r="C791" t="str">
            <v>m3</v>
          </cell>
          <cell r="D791">
            <v>1</v>
          </cell>
          <cell r="E791">
            <v>101.25</v>
          </cell>
          <cell r="F791">
            <v>101.25</v>
          </cell>
        </row>
        <row r="792">
          <cell r="A792" t="str">
            <v>MO15.013</v>
          </cell>
          <cell r="B792" t="str">
            <v>Subir cemento gris y blanco, cal y derretido por polea al 2do. nivel</v>
          </cell>
          <cell r="C792" t="str">
            <v>fda</v>
          </cell>
          <cell r="D792">
            <v>1</v>
          </cell>
          <cell r="E792">
            <v>1.69</v>
          </cell>
          <cell r="F792">
            <v>1.69</v>
          </cell>
        </row>
        <row r="793">
          <cell r="A793" t="str">
            <v>MO15.014</v>
          </cell>
          <cell r="B793" t="str">
            <v>Subir cemento gris y blanco, cal y derretido por polea al 3er. nivel</v>
          </cell>
          <cell r="C793" t="str">
            <v>fda</v>
          </cell>
          <cell r="D793">
            <v>2</v>
          </cell>
          <cell r="E793">
            <v>2.7</v>
          </cell>
          <cell r="F793">
            <v>5.4</v>
          </cell>
        </row>
        <row r="794">
          <cell r="A794" t="str">
            <v>MO15.015</v>
          </cell>
          <cell r="B794" t="str">
            <v>Subir cemento gris y blanco, cal y derretido por polea al 4to. nivel</v>
          </cell>
          <cell r="C794" t="str">
            <v>fda</v>
          </cell>
          <cell r="D794">
            <v>3</v>
          </cell>
          <cell r="E794">
            <v>3.68</v>
          </cell>
          <cell r="F794">
            <v>11.04</v>
          </cell>
        </row>
        <row r="795">
          <cell r="A795" t="str">
            <v>MO15.033</v>
          </cell>
          <cell r="B795" t="str">
            <v>Subir bloques de 6" por polea al 2do. nivel</v>
          </cell>
          <cell r="C795" t="str">
            <v>u</v>
          </cell>
          <cell r="D795">
            <v>1</v>
          </cell>
          <cell r="E795">
            <v>0.45</v>
          </cell>
          <cell r="F795">
            <v>0.45</v>
          </cell>
        </row>
        <row r="796">
          <cell r="A796" t="str">
            <v>MO15.034</v>
          </cell>
          <cell r="B796" t="str">
            <v>Subir bloques de 6" por polea al 3er. nivel</v>
          </cell>
          <cell r="C796" t="str">
            <v>u</v>
          </cell>
          <cell r="D796">
            <v>2</v>
          </cell>
          <cell r="E796">
            <v>0.68</v>
          </cell>
          <cell r="F796">
            <v>1.36</v>
          </cell>
        </row>
        <row r="797">
          <cell r="A797" t="str">
            <v>MO15.035</v>
          </cell>
          <cell r="B797" t="str">
            <v>Subir bloques de 6" por polea al 4to. nivel</v>
          </cell>
          <cell r="C797" t="str">
            <v>u</v>
          </cell>
          <cell r="D797">
            <v>3</v>
          </cell>
          <cell r="E797">
            <v>0.9</v>
          </cell>
          <cell r="F797">
            <v>2.7</v>
          </cell>
        </row>
        <row r="798">
          <cell r="A798" t="str">
            <v>MO15.043</v>
          </cell>
          <cell r="B798" t="str">
            <v>Subir bloques de 8" por polea al 2do. nivel</v>
          </cell>
          <cell r="C798" t="str">
            <v>u</v>
          </cell>
          <cell r="D798">
            <v>1</v>
          </cell>
          <cell r="E798">
            <v>0.56999999999999995</v>
          </cell>
          <cell r="F798">
            <v>0.56999999999999995</v>
          </cell>
        </row>
        <row r="799">
          <cell r="A799" t="str">
            <v>MO15.044</v>
          </cell>
          <cell r="B799" t="str">
            <v>Subir bloques de 8" por polea al 3er. nivel</v>
          </cell>
          <cell r="C799" t="str">
            <v>u</v>
          </cell>
          <cell r="D799">
            <v>2</v>
          </cell>
          <cell r="E799">
            <v>0.85</v>
          </cell>
          <cell r="F799">
            <v>1.7</v>
          </cell>
        </row>
        <row r="800">
          <cell r="A800" t="str">
            <v>MO15.045</v>
          </cell>
          <cell r="B800" t="str">
            <v>Subir bloques de 8" por polea al 4to. nivel</v>
          </cell>
          <cell r="C800" t="str">
            <v>u</v>
          </cell>
          <cell r="D800">
            <v>3</v>
          </cell>
          <cell r="E800">
            <v>1.1399999999999999</v>
          </cell>
          <cell r="F800">
            <v>3.42</v>
          </cell>
        </row>
        <row r="801">
          <cell r="A801" t="str">
            <v>MO31.</v>
          </cell>
          <cell r="B801" t="str">
            <v>Carpintería</v>
          </cell>
          <cell r="D801" t="str">
            <v/>
          </cell>
          <cell r="F801" t="str">
            <v/>
          </cell>
        </row>
        <row r="802">
          <cell r="A802" t="str">
            <v>MO31.001</v>
          </cell>
          <cell r="B802" t="str">
            <v>MO Encofrado y desencofrado, columnas hasta 30x30</v>
          </cell>
          <cell r="C802" t="str">
            <v>m</v>
          </cell>
          <cell r="D802">
            <v>1</v>
          </cell>
          <cell r="E802">
            <v>52</v>
          </cell>
          <cell r="F802">
            <v>52</v>
          </cell>
        </row>
        <row r="803">
          <cell r="A803" t="str">
            <v>MO31.002</v>
          </cell>
          <cell r="B803" t="str">
            <v>MO Encofrado y desencofrado, col de 40 hasta 50</v>
          </cell>
          <cell r="C803" t="str">
            <v>m</v>
          </cell>
          <cell r="D803">
            <v>1</v>
          </cell>
          <cell r="E803">
            <v>66</v>
          </cell>
          <cell r="F803">
            <v>66</v>
          </cell>
        </row>
        <row r="804">
          <cell r="A804" t="str">
            <v>MO31.003</v>
          </cell>
          <cell r="B804" t="str">
            <v>MO Encofrado y desencofrado, columnas y vigas de amarre</v>
          </cell>
          <cell r="C804" t="str">
            <v>m</v>
          </cell>
          <cell r="D804">
            <v>1</v>
          </cell>
          <cell r="E804">
            <v>25</v>
          </cell>
          <cell r="F804">
            <v>25</v>
          </cell>
        </row>
        <row r="805">
          <cell r="A805" t="str">
            <v>MO31.004</v>
          </cell>
          <cell r="B805" t="str">
            <v>MO Encofrado y desencofrado, muros por cara</v>
          </cell>
          <cell r="C805" t="str">
            <v>m2</v>
          </cell>
          <cell r="D805">
            <v>1</v>
          </cell>
          <cell r="E805">
            <v>86</v>
          </cell>
          <cell r="F805">
            <v>86</v>
          </cell>
        </row>
        <row r="806">
          <cell r="A806" t="str">
            <v>MO31.005</v>
          </cell>
          <cell r="B806" t="str">
            <v>MO Encofrado y desencofrado, vigas 20x40, hasta 3.6 m.</v>
          </cell>
          <cell r="C806" t="str">
            <v>m</v>
          </cell>
          <cell r="D806">
            <v>1</v>
          </cell>
          <cell r="E806">
            <v>49</v>
          </cell>
          <cell r="F806">
            <v>49</v>
          </cell>
        </row>
        <row r="807">
          <cell r="A807" t="str">
            <v>MO31.006</v>
          </cell>
          <cell r="B807" t="str">
            <v>MO Encofrado y desencofrado, vigas 30x50, hasta 3.6 m.</v>
          </cell>
          <cell r="C807" t="str">
            <v>m</v>
          </cell>
          <cell r="D807">
            <v>1</v>
          </cell>
          <cell r="E807">
            <v>64</v>
          </cell>
          <cell r="F807">
            <v>64</v>
          </cell>
        </row>
        <row r="808">
          <cell r="A808" t="str">
            <v>MO31.007</v>
          </cell>
          <cell r="B808" t="str">
            <v>MO Encofrado y desencofrado, vigas 30x60, hasta 3.6 m.</v>
          </cell>
          <cell r="C808" t="str">
            <v>m</v>
          </cell>
          <cell r="D808">
            <v>1</v>
          </cell>
          <cell r="E808">
            <v>72</v>
          </cell>
          <cell r="F808">
            <v>72</v>
          </cell>
        </row>
        <row r="809">
          <cell r="A809" t="str">
            <v>MO31.008</v>
          </cell>
          <cell r="B809" t="str">
            <v>MO Encofrado y desencofrado, vigas 40x80, hasta 3.6 m.</v>
          </cell>
          <cell r="C809" t="str">
            <v>m</v>
          </cell>
          <cell r="D809">
            <v>1</v>
          </cell>
          <cell r="E809">
            <v>96</v>
          </cell>
          <cell r="F809">
            <v>96</v>
          </cell>
        </row>
        <row r="810">
          <cell r="A810" t="str">
            <v>MO31.009</v>
          </cell>
          <cell r="B810" t="str">
            <v>MO Encofrado y desencofrado, dinteles 0.20, hasta 2 m.</v>
          </cell>
          <cell r="C810" t="str">
            <v>m</v>
          </cell>
          <cell r="D810">
            <v>1</v>
          </cell>
          <cell r="E810">
            <v>28</v>
          </cell>
          <cell r="F810">
            <v>28</v>
          </cell>
        </row>
        <row r="811">
          <cell r="A811" t="str">
            <v>MO31.010</v>
          </cell>
          <cell r="B811" t="str">
            <v>MO Encofrado y desencofrado, losas planas, hasta 2.75 m. de altura</v>
          </cell>
          <cell r="C811" t="str">
            <v>m2</v>
          </cell>
          <cell r="D811">
            <v>1</v>
          </cell>
          <cell r="E811">
            <v>37</v>
          </cell>
          <cell r="F811">
            <v>37</v>
          </cell>
        </row>
        <row r="812">
          <cell r="A812" t="str">
            <v>MO31.011</v>
          </cell>
          <cell r="B812" t="str">
            <v>MO Encofrado y desencofrado, losas en varias aguas.</v>
          </cell>
          <cell r="C812" t="str">
            <v>m2</v>
          </cell>
          <cell r="D812">
            <v>1</v>
          </cell>
          <cell r="E812">
            <v>78</v>
          </cell>
          <cell r="F812">
            <v>78</v>
          </cell>
        </row>
        <row r="813">
          <cell r="A813" t="str">
            <v>MO31.012</v>
          </cell>
          <cell r="B813" t="str">
            <v>MO Encofrado y desencofrado, rampas escaleras.</v>
          </cell>
          <cell r="C813" t="str">
            <v>u</v>
          </cell>
          <cell r="D813">
            <v>1</v>
          </cell>
          <cell r="E813">
            <v>450</v>
          </cell>
          <cell r="F813">
            <v>450</v>
          </cell>
        </row>
        <row r="814">
          <cell r="A814" t="str">
            <v>MO31.013</v>
          </cell>
          <cell r="B814" t="str">
            <v xml:space="preserve">MO Encofrado y desencofrado, zapatas columnas </v>
          </cell>
          <cell r="C814" t="str">
            <v>u</v>
          </cell>
          <cell r="D814">
            <v>1</v>
          </cell>
          <cell r="E814">
            <v>120</v>
          </cell>
          <cell r="F814">
            <v>120</v>
          </cell>
        </row>
        <row r="815">
          <cell r="A815" t="str">
            <v>MO31.014</v>
          </cell>
          <cell r="B815" t="str">
            <v>MO Encofrado y desencofrado, zapatas columnas combinadas</v>
          </cell>
          <cell r="C815" t="str">
            <v>u</v>
          </cell>
          <cell r="D815">
            <v>1</v>
          </cell>
          <cell r="E815">
            <v>240</v>
          </cell>
          <cell r="F815">
            <v>240</v>
          </cell>
        </row>
        <row r="816">
          <cell r="A816" t="str">
            <v>MO31.015</v>
          </cell>
          <cell r="B816" t="str">
            <v>MO Encofrado y desencofrado, Muros y Nucleos de Ascensor</v>
          </cell>
          <cell r="C816" t="str">
            <v>m3</v>
          </cell>
          <cell r="D816">
            <v>1</v>
          </cell>
          <cell r="E816">
            <v>666.55</v>
          </cell>
          <cell r="F816">
            <v>666.55</v>
          </cell>
        </row>
        <row r="817">
          <cell r="A817" t="str">
            <v>MO31.016</v>
          </cell>
          <cell r="B817" t="str">
            <v>MO Encofrado y desencofrado, antepechos</v>
          </cell>
          <cell r="C817" t="str">
            <v>m</v>
          </cell>
          <cell r="D817">
            <v>1</v>
          </cell>
          <cell r="E817">
            <v>25</v>
          </cell>
          <cell r="F817">
            <v>25</v>
          </cell>
        </row>
        <row r="818">
          <cell r="A818" t="str">
            <v>MO31.101</v>
          </cell>
          <cell r="B818" t="str">
            <v>Coloc. láminas de Asbesto Cemento</v>
          </cell>
          <cell r="C818" t="str">
            <v>m2</v>
          </cell>
          <cell r="D818">
            <v>1</v>
          </cell>
          <cell r="E818">
            <v>29</v>
          </cell>
          <cell r="F818">
            <v>29</v>
          </cell>
        </row>
        <row r="819">
          <cell r="A819" t="str">
            <v>MO31.102</v>
          </cell>
          <cell r="B819" t="str">
            <v>Coloc. Caballete de Asbesto</v>
          </cell>
          <cell r="C819" t="str">
            <v>u</v>
          </cell>
          <cell r="D819">
            <v>1</v>
          </cell>
          <cell r="E819">
            <v>5.0999999999999996</v>
          </cell>
          <cell r="F819">
            <v>5.0999999999999996</v>
          </cell>
        </row>
        <row r="820">
          <cell r="A820" t="str">
            <v>MO31.103</v>
          </cell>
          <cell r="B820" t="str">
            <v>Coloc. láminas de Zinc Acanalado</v>
          </cell>
          <cell r="C820" t="str">
            <v>m2</v>
          </cell>
          <cell r="D820">
            <v>1</v>
          </cell>
          <cell r="E820">
            <v>18</v>
          </cell>
          <cell r="F820">
            <v>18</v>
          </cell>
        </row>
        <row r="821">
          <cell r="A821" t="str">
            <v>MO31.104</v>
          </cell>
          <cell r="B821" t="str">
            <v>Coloc. Caballete de Zinc</v>
          </cell>
          <cell r="C821" t="str">
            <v>u</v>
          </cell>
          <cell r="D821">
            <v>1</v>
          </cell>
          <cell r="E821">
            <v>3.6</v>
          </cell>
          <cell r="F821">
            <v>3.6</v>
          </cell>
        </row>
        <row r="822">
          <cell r="A822" t="str">
            <v>MO36.</v>
          </cell>
          <cell r="B822" t="str">
            <v>Electricidad</v>
          </cell>
          <cell r="D822" t="str">
            <v/>
          </cell>
          <cell r="F822" t="str">
            <v/>
          </cell>
        </row>
        <row r="823">
          <cell r="A823" t="str">
            <v>MO36.001</v>
          </cell>
          <cell r="B823" t="str">
            <v>Coloc. Luces</v>
          </cell>
          <cell r="C823" t="str">
            <v>u</v>
          </cell>
          <cell r="D823">
            <v>1</v>
          </cell>
          <cell r="E823">
            <v>96</v>
          </cell>
          <cell r="F823">
            <v>96</v>
          </cell>
        </row>
        <row r="824">
          <cell r="A824" t="str">
            <v>MO36.002</v>
          </cell>
          <cell r="B824" t="str">
            <v>Coloc. Tomacorrientes 110 v.</v>
          </cell>
          <cell r="C824" t="str">
            <v>u</v>
          </cell>
          <cell r="D824">
            <v>1</v>
          </cell>
          <cell r="E824">
            <v>96</v>
          </cell>
          <cell r="F824">
            <v>96</v>
          </cell>
        </row>
        <row r="825">
          <cell r="A825" t="str">
            <v>MO36.003</v>
          </cell>
          <cell r="B825" t="str">
            <v>Coloc. Tomacorrientes 220 v.</v>
          </cell>
          <cell r="C825" t="str">
            <v>u</v>
          </cell>
          <cell r="D825">
            <v>1</v>
          </cell>
          <cell r="E825">
            <v>112</v>
          </cell>
          <cell r="F825">
            <v>112</v>
          </cell>
        </row>
        <row r="826">
          <cell r="A826" t="str">
            <v>MO36.004</v>
          </cell>
          <cell r="B826" t="str">
            <v>Coloc. Interruptores sencillos.</v>
          </cell>
          <cell r="C826" t="str">
            <v>u</v>
          </cell>
          <cell r="D826">
            <v>1</v>
          </cell>
          <cell r="E826">
            <v>96</v>
          </cell>
          <cell r="F826">
            <v>96</v>
          </cell>
        </row>
        <row r="827">
          <cell r="A827" t="str">
            <v>MO36.005</v>
          </cell>
          <cell r="B827" t="str">
            <v>Coloc. interruptores dobles.</v>
          </cell>
          <cell r="C827" t="str">
            <v>u</v>
          </cell>
          <cell r="D827">
            <v>1</v>
          </cell>
          <cell r="E827">
            <v>112</v>
          </cell>
          <cell r="F827">
            <v>112</v>
          </cell>
        </row>
        <row r="828">
          <cell r="A828" t="str">
            <v>MO36.006</v>
          </cell>
          <cell r="B828" t="str">
            <v>Coloc. interruptores triples</v>
          </cell>
          <cell r="C828" t="str">
            <v>u</v>
          </cell>
          <cell r="D828">
            <v>1</v>
          </cell>
          <cell r="E828">
            <v>128</v>
          </cell>
          <cell r="F828">
            <v>128</v>
          </cell>
        </row>
        <row r="829">
          <cell r="A829" t="str">
            <v>MO36.007</v>
          </cell>
          <cell r="B829" t="str">
            <v>Coloc. interruptores tres vías</v>
          </cell>
          <cell r="C829" t="str">
            <v>u</v>
          </cell>
          <cell r="D829">
            <v>1</v>
          </cell>
          <cell r="E829">
            <v>128</v>
          </cell>
          <cell r="F829">
            <v>128</v>
          </cell>
        </row>
        <row r="830">
          <cell r="A830" t="str">
            <v>MO36.009</v>
          </cell>
          <cell r="B830" t="str">
            <v>Coloc. interruptores pilotos</v>
          </cell>
          <cell r="C830" t="str">
            <v>u</v>
          </cell>
          <cell r="D830">
            <v>1</v>
          </cell>
          <cell r="E830">
            <v>112</v>
          </cell>
          <cell r="F830">
            <v>112</v>
          </cell>
        </row>
        <row r="831">
          <cell r="A831" t="str">
            <v>MO36.010</v>
          </cell>
          <cell r="B831" t="str">
            <v>Coloc. interruptor seguridad 30 a</v>
          </cell>
          <cell r="C831" t="str">
            <v>u</v>
          </cell>
          <cell r="D831">
            <v>1</v>
          </cell>
          <cell r="E831">
            <v>112</v>
          </cell>
          <cell r="F831">
            <v>112</v>
          </cell>
        </row>
        <row r="832">
          <cell r="A832" t="str">
            <v>MO36.011</v>
          </cell>
          <cell r="B832" t="str">
            <v>Coloc. interruptor seguridad 60 a</v>
          </cell>
          <cell r="C832" t="str">
            <v>u</v>
          </cell>
          <cell r="D832">
            <v>1</v>
          </cell>
          <cell r="E832">
            <v>192</v>
          </cell>
          <cell r="F832">
            <v>192</v>
          </cell>
        </row>
        <row r="833">
          <cell r="A833" t="str">
            <v>MO36.012</v>
          </cell>
          <cell r="B833" t="str">
            <v>Coloc. interruptor seguridad 100 a</v>
          </cell>
          <cell r="C833" t="str">
            <v>u</v>
          </cell>
          <cell r="D833">
            <v>1</v>
          </cell>
          <cell r="E833">
            <v>240</v>
          </cell>
          <cell r="F833">
            <v>240</v>
          </cell>
        </row>
        <row r="834">
          <cell r="A834" t="str">
            <v>MO36.013</v>
          </cell>
          <cell r="B834" t="str">
            <v>Coloc. paneles de distribución.</v>
          </cell>
          <cell r="C834" t="str">
            <v>u</v>
          </cell>
          <cell r="D834">
            <v>1</v>
          </cell>
          <cell r="E834">
            <v>192</v>
          </cell>
          <cell r="F834">
            <v>192</v>
          </cell>
        </row>
        <row r="835">
          <cell r="A835" t="str">
            <v>MO36.014</v>
          </cell>
          <cell r="B835" t="str">
            <v>Coloc. Breakers</v>
          </cell>
          <cell r="C835" t="str">
            <v>u</v>
          </cell>
          <cell r="D835">
            <v>1</v>
          </cell>
          <cell r="E835">
            <v>96</v>
          </cell>
          <cell r="F835">
            <v>96</v>
          </cell>
        </row>
        <row r="836">
          <cell r="A836" t="str">
            <v>MO36.015</v>
          </cell>
          <cell r="B836" t="str">
            <v>Coloc. Botón Timbre</v>
          </cell>
          <cell r="C836" t="str">
            <v>u</v>
          </cell>
          <cell r="D836">
            <v>1</v>
          </cell>
          <cell r="E836">
            <v>96</v>
          </cell>
          <cell r="F836">
            <v>96</v>
          </cell>
        </row>
        <row r="837">
          <cell r="A837" t="str">
            <v>MO36.016</v>
          </cell>
          <cell r="B837" t="str">
            <v>Coloc.  timbre corriente</v>
          </cell>
          <cell r="C837" t="str">
            <v>u</v>
          </cell>
          <cell r="D837">
            <v>1</v>
          </cell>
          <cell r="E837">
            <v>96</v>
          </cell>
          <cell r="F837">
            <v>96</v>
          </cell>
        </row>
        <row r="838">
          <cell r="A838" t="str">
            <v>MO41-70.</v>
          </cell>
          <cell r="B838" t="str">
            <v>Plomería</v>
          </cell>
          <cell r="D838" t="str">
            <v/>
          </cell>
          <cell r="F838" t="str">
            <v/>
          </cell>
        </row>
        <row r="839">
          <cell r="A839" t="str">
            <v>MO41.</v>
          </cell>
          <cell r="B839" t="str">
            <v>Montura Bidet,Inodoros y Orinales</v>
          </cell>
          <cell r="D839" t="str">
            <v/>
          </cell>
          <cell r="F839" t="str">
            <v/>
          </cell>
        </row>
        <row r="840">
          <cell r="A840" t="str">
            <v>MO41.001</v>
          </cell>
          <cell r="B840" t="str">
            <v>Inodoros de Dos Cuerpos</v>
          </cell>
          <cell r="C840" t="str">
            <v>u</v>
          </cell>
          <cell r="D840">
            <v>1</v>
          </cell>
          <cell r="E840">
            <v>200</v>
          </cell>
          <cell r="F840">
            <v>200</v>
          </cell>
        </row>
        <row r="841">
          <cell r="A841" t="str">
            <v>MO42.</v>
          </cell>
          <cell r="B841" t="str">
            <v>Montura Lavamanos</v>
          </cell>
          <cell r="D841" t="str">
            <v/>
          </cell>
          <cell r="F841" t="str">
            <v/>
          </cell>
        </row>
        <row r="842">
          <cell r="A842" t="str">
            <v>MO42.003</v>
          </cell>
          <cell r="B842" t="str">
            <v>Lavamanos de mueble o empotrado</v>
          </cell>
          <cell r="C842" t="str">
            <v>u</v>
          </cell>
          <cell r="D842">
            <v>1</v>
          </cell>
          <cell r="E842">
            <v>238</v>
          </cell>
          <cell r="F842">
            <v>238</v>
          </cell>
        </row>
        <row r="843">
          <cell r="A843" t="str">
            <v>MO43.</v>
          </cell>
          <cell r="B843" t="str">
            <v>Montura Bañeras y Duchas</v>
          </cell>
          <cell r="D843" t="str">
            <v/>
          </cell>
          <cell r="F843" t="str">
            <v/>
          </cell>
        </row>
        <row r="844">
          <cell r="A844" t="str">
            <v>MO43.001</v>
          </cell>
          <cell r="B844" t="str">
            <v>Bañera liviana.</v>
          </cell>
          <cell r="C844" t="str">
            <v>u</v>
          </cell>
          <cell r="D844">
            <v>1</v>
          </cell>
          <cell r="E844">
            <v>238</v>
          </cell>
          <cell r="F844">
            <v>238</v>
          </cell>
        </row>
        <row r="845">
          <cell r="A845" t="str">
            <v>MO43.002</v>
          </cell>
          <cell r="B845" t="str">
            <v>Bañera pesada de hierro</v>
          </cell>
          <cell r="C845" t="str">
            <v>u</v>
          </cell>
          <cell r="D845">
            <v>1</v>
          </cell>
          <cell r="E845">
            <v>400</v>
          </cell>
          <cell r="F845">
            <v>400</v>
          </cell>
        </row>
        <row r="846">
          <cell r="A846" t="str">
            <v>MO43.003</v>
          </cell>
          <cell r="B846" t="str">
            <v>Bañera especial de hierro, tipo "Romano"</v>
          </cell>
          <cell r="C846" t="str">
            <v>u</v>
          </cell>
          <cell r="D846">
            <v>1</v>
          </cell>
          <cell r="E846">
            <v>479</v>
          </cell>
          <cell r="F846">
            <v>479</v>
          </cell>
        </row>
        <row r="847">
          <cell r="A847" t="str">
            <v>MO43.004</v>
          </cell>
          <cell r="B847" t="str">
            <v>Mezcladora de baño</v>
          </cell>
          <cell r="C847" t="str">
            <v>u</v>
          </cell>
          <cell r="D847">
            <v>1</v>
          </cell>
          <cell r="E847">
            <v>163</v>
          </cell>
          <cell r="F847">
            <v>163</v>
          </cell>
        </row>
        <row r="848">
          <cell r="A848" t="str">
            <v>MO43.005</v>
          </cell>
          <cell r="B848" t="str">
            <v>Llave para ducha, empotrada.</v>
          </cell>
          <cell r="C848" t="str">
            <v>u</v>
          </cell>
          <cell r="D848">
            <v>1</v>
          </cell>
          <cell r="E848">
            <v>81</v>
          </cell>
          <cell r="F848">
            <v>81</v>
          </cell>
        </row>
        <row r="849">
          <cell r="A849" t="str">
            <v>MO43.006</v>
          </cell>
          <cell r="B849" t="str">
            <v>Terminación de baño.</v>
          </cell>
          <cell r="C849" t="str">
            <v>u</v>
          </cell>
          <cell r="D849">
            <v>1</v>
          </cell>
          <cell r="E849">
            <v>50</v>
          </cell>
          <cell r="F849">
            <v>50</v>
          </cell>
        </row>
        <row r="850">
          <cell r="A850" t="str">
            <v>MO43.007</v>
          </cell>
          <cell r="B850" t="str">
            <v>Ducha tipo teléfono.</v>
          </cell>
          <cell r="C850" t="str">
            <v>u</v>
          </cell>
          <cell r="D850">
            <v>1</v>
          </cell>
          <cell r="E850">
            <v>50</v>
          </cell>
          <cell r="F850">
            <v>50</v>
          </cell>
        </row>
        <row r="851">
          <cell r="A851" t="str">
            <v>MO44.</v>
          </cell>
          <cell r="B851" t="str">
            <v>Montura de Fregaderos</v>
          </cell>
          <cell r="D851" t="str">
            <v/>
          </cell>
          <cell r="F851" t="str">
            <v/>
          </cell>
        </row>
        <row r="852">
          <cell r="A852" t="str">
            <v>MO44.003</v>
          </cell>
          <cell r="B852" t="str">
            <v>Fregadero acero inoxidable de dos cámaras.</v>
          </cell>
          <cell r="C852" t="str">
            <v>u</v>
          </cell>
          <cell r="D852">
            <v>1</v>
          </cell>
          <cell r="E852">
            <v>219</v>
          </cell>
          <cell r="F852">
            <v>219</v>
          </cell>
        </row>
        <row r="853">
          <cell r="A853" t="str">
            <v>MO45.</v>
          </cell>
          <cell r="B853" t="str">
            <v>Terminación Lavaderos y Vertederos</v>
          </cell>
          <cell r="D853" t="str">
            <v/>
          </cell>
          <cell r="F853" t="str">
            <v/>
          </cell>
        </row>
        <row r="854">
          <cell r="A854" t="str">
            <v>MO45.002</v>
          </cell>
          <cell r="B854" t="str">
            <v>Lavadero de dos cámaras.</v>
          </cell>
          <cell r="C854" t="str">
            <v>u</v>
          </cell>
          <cell r="D854">
            <v>1</v>
          </cell>
          <cell r="E854">
            <v>100</v>
          </cell>
          <cell r="F854">
            <v>100</v>
          </cell>
        </row>
        <row r="855">
          <cell r="A855" t="str">
            <v>MO46.</v>
          </cell>
          <cell r="B855" t="str">
            <v>Instalación Calentadores de Agua,Lavadoras, Neveras, Bebederos y Filtros</v>
          </cell>
          <cell r="D855" t="str">
            <v/>
          </cell>
          <cell r="F855" t="str">
            <v/>
          </cell>
        </row>
        <row r="856">
          <cell r="A856" t="str">
            <v>MO46.002</v>
          </cell>
          <cell r="B856" t="str">
            <v>Calentadores eléctricos domésticos, 18 a 50 gls.</v>
          </cell>
          <cell r="C856" t="str">
            <v>u</v>
          </cell>
          <cell r="D856">
            <v>1</v>
          </cell>
          <cell r="E856">
            <v>438</v>
          </cell>
          <cell r="F856">
            <v>438</v>
          </cell>
        </row>
        <row r="857">
          <cell r="A857" t="str">
            <v>MO46.004</v>
          </cell>
          <cell r="B857" t="str">
            <v>Lavadoras automáticas, domésticas.</v>
          </cell>
          <cell r="C857" t="str">
            <v>u</v>
          </cell>
          <cell r="D857">
            <v>1</v>
          </cell>
          <cell r="E857">
            <v>144</v>
          </cell>
          <cell r="F857">
            <v>144</v>
          </cell>
        </row>
        <row r="858">
          <cell r="A858" t="str">
            <v>MO47.</v>
          </cell>
          <cell r="B858" t="str">
            <v>Desagües Aparatos, por Salida</v>
          </cell>
          <cell r="D858" t="str">
            <v/>
          </cell>
          <cell r="F858" t="str">
            <v/>
          </cell>
        </row>
        <row r="859">
          <cell r="A859" t="str">
            <v>MO47.001</v>
          </cell>
          <cell r="B859" t="str">
            <v>Desagües de aparatos de 2"</v>
          </cell>
          <cell r="C859" t="str">
            <v>u</v>
          </cell>
          <cell r="D859">
            <v>1</v>
          </cell>
          <cell r="E859">
            <v>88</v>
          </cell>
          <cell r="F859">
            <v>88</v>
          </cell>
        </row>
        <row r="860">
          <cell r="A860" t="str">
            <v>MO47.002</v>
          </cell>
          <cell r="B860" t="str">
            <v>Desagües de aparatos de 3" y 4"</v>
          </cell>
          <cell r="C860" t="str">
            <v>u</v>
          </cell>
          <cell r="D860">
            <v>1</v>
          </cell>
          <cell r="E860">
            <v>100</v>
          </cell>
          <cell r="F860">
            <v>100</v>
          </cell>
        </row>
        <row r="861">
          <cell r="A861" t="str">
            <v>MO47.003</v>
          </cell>
          <cell r="B861" t="str">
            <v>Desagües de inodoros de pared.</v>
          </cell>
          <cell r="C861" t="str">
            <v>u</v>
          </cell>
          <cell r="D861">
            <v>1</v>
          </cell>
          <cell r="E861">
            <v>106</v>
          </cell>
          <cell r="F861">
            <v>106</v>
          </cell>
        </row>
        <row r="862">
          <cell r="A862" t="str">
            <v>MO47.004</v>
          </cell>
          <cell r="B862" t="str">
            <v>Desagües de piso en 2" con parrilla.</v>
          </cell>
          <cell r="C862" t="str">
            <v>u</v>
          </cell>
          <cell r="D862">
            <v>1</v>
          </cell>
          <cell r="E862">
            <v>106</v>
          </cell>
          <cell r="F862">
            <v>106</v>
          </cell>
        </row>
        <row r="863">
          <cell r="A863" t="str">
            <v>MO47.005</v>
          </cell>
          <cell r="B863" t="str">
            <v>Desagües de piso en 3" y 4", con parrilla.</v>
          </cell>
          <cell r="C863" t="str">
            <v>u</v>
          </cell>
          <cell r="D863">
            <v>1</v>
          </cell>
          <cell r="E863">
            <v>125</v>
          </cell>
          <cell r="F863">
            <v>125</v>
          </cell>
        </row>
        <row r="864">
          <cell r="A864" t="str">
            <v>MO48.</v>
          </cell>
          <cell r="B864" t="str">
            <v>Instalación Trampa Grasa y Cámara de Inspección</v>
          </cell>
          <cell r="D864" t="str">
            <v/>
          </cell>
          <cell r="F864" t="str">
            <v/>
          </cell>
        </row>
        <row r="865">
          <cell r="A865" t="str">
            <v>MO48.001</v>
          </cell>
          <cell r="B865" t="str">
            <v>Trampa de Grasa de una cámara</v>
          </cell>
          <cell r="C865" t="str">
            <v>u</v>
          </cell>
          <cell r="D865">
            <v>1</v>
          </cell>
          <cell r="E865">
            <v>113</v>
          </cell>
          <cell r="F865">
            <v>113</v>
          </cell>
        </row>
        <row r="866">
          <cell r="A866" t="str">
            <v>MO48.004</v>
          </cell>
          <cell r="B866" t="str">
            <v>Cámara de inspección en tub. de 3" y 4"</v>
          </cell>
          <cell r="C866" t="str">
            <v>u</v>
          </cell>
          <cell r="D866">
            <v>1</v>
          </cell>
          <cell r="E866">
            <v>100</v>
          </cell>
          <cell r="F866">
            <v>100</v>
          </cell>
        </row>
        <row r="867">
          <cell r="A867" t="str">
            <v>MO48.</v>
          </cell>
          <cell r="B867" t="str">
            <v>Conexión al Séptico y al Filtrante</v>
          </cell>
          <cell r="D867" t="str">
            <v/>
          </cell>
          <cell r="F867" t="str">
            <v/>
          </cell>
        </row>
        <row r="868">
          <cell r="A868" t="str">
            <v>MO48.009</v>
          </cell>
          <cell r="B868" t="str">
            <v>Conexión Cloaca.</v>
          </cell>
          <cell r="C868" t="str">
            <v>u</v>
          </cell>
          <cell r="D868">
            <v>1</v>
          </cell>
          <cell r="E868">
            <v>250</v>
          </cell>
          <cell r="F868">
            <v>250</v>
          </cell>
        </row>
        <row r="869">
          <cell r="A869" t="str">
            <v>MO49.</v>
          </cell>
          <cell r="B869" t="str">
            <v>Bajante o Ventilación por Planta</v>
          </cell>
          <cell r="D869" t="str">
            <v/>
          </cell>
          <cell r="F869" t="str">
            <v/>
          </cell>
        </row>
        <row r="870">
          <cell r="A870" t="str">
            <v>MO49.002</v>
          </cell>
          <cell r="B870" t="str">
            <v>Bajante o ventilación de 3" ó 4"</v>
          </cell>
          <cell r="C870" t="str">
            <v>u</v>
          </cell>
          <cell r="D870">
            <v>1</v>
          </cell>
          <cell r="E870">
            <v>113</v>
          </cell>
          <cell r="F870">
            <v>113</v>
          </cell>
        </row>
        <row r="871">
          <cell r="A871" t="str">
            <v>MO50.</v>
          </cell>
          <cell r="B871" t="str">
            <v>Colocación Desagüe Pluvial por Planta</v>
          </cell>
          <cell r="D871" t="str">
            <v/>
          </cell>
          <cell r="F871" t="str">
            <v/>
          </cell>
        </row>
        <row r="872">
          <cell r="A872" t="str">
            <v>MO50.002</v>
          </cell>
          <cell r="B872" t="str">
            <v>Desagüe pluvial de 3" ó 4"</v>
          </cell>
          <cell r="C872" t="str">
            <v>u</v>
          </cell>
          <cell r="D872">
            <v>1</v>
          </cell>
          <cell r="E872">
            <v>81</v>
          </cell>
          <cell r="F872">
            <v>81</v>
          </cell>
        </row>
        <row r="873">
          <cell r="A873" t="str">
            <v>MO51.</v>
          </cell>
          <cell r="B873" t="str">
            <v>Arrastre Domicilio fuera cada Baño</v>
          </cell>
          <cell r="D873" t="str">
            <v/>
          </cell>
          <cell r="F873" t="str">
            <v/>
          </cell>
        </row>
        <row r="874">
          <cell r="A874" t="str">
            <v>MO51.001</v>
          </cell>
          <cell r="B874" t="str">
            <v>Arrastre en tubería de 2"</v>
          </cell>
          <cell r="C874" t="str">
            <v>m</v>
          </cell>
          <cell r="D874">
            <v>1</v>
          </cell>
          <cell r="E874">
            <v>3.1</v>
          </cell>
          <cell r="F874">
            <v>3.1</v>
          </cell>
        </row>
        <row r="875">
          <cell r="A875" t="str">
            <v>MO51.002</v>
          </cell>
          <cell r="B875" t="str">
            <v>Arrastre en tubería de 3" ó 4"</v>
          </cell>
          <cell r="C875" t="str">
            <v>m</v>
          </cell>
          <cell r="D875">
            <v>1</v>
          </cell>
          <cell r="E875">
            <v>4.8</v>
          </cell>
          <cell r="F875">
            <v>4.8</v>
          </cell>
        </row>
        <row r="876">
          <cell r="A876" t="str">
            <v>MO52.</v>
          </cell>
          <cell r="B876" t="str">
            <v>Salidas de Agua Aparatos Sanitarios</v>
          </cell>
          <cell r="D876" t="str">
            <v/>
          </cell>
          <cell r="F876" t="str">
            <v/>
          </cell>
        </row>
        <row r="877">
          <cell r="A877" t="str">
            <v>MO52.001</v>
          </cell>
          <cell r="B877" t="str">
            <v>Salida de Agua en tuberias de 1/2" ó 3/4"</v>
          </cell>
          <cell r="C877" t="str">
            <v>u</v>
          </cell>
          <cell r="D877">
            <v>1</v>
          </cell>
          <cell r="E877">
            <v>125</v>
          </cell>
          <cell r="F877">
            <v>125</v>
          </cell>
        </row>
        <row r="878">
          <cell r="A878" t="str">
            <v>MO53.</v>
          </cell>
          <cell r="B878" t="str">
            <v>Tuberias de Agua Potable Fuera Cada Baño</v>
          </cell>
          <cell r="D878" t="str">
            <v/>
          </cell>
          <cell r="F878" t="str">
            <v/>
          </cell>
        </row>
        <row r="879">
          <cell r="A879" t="str">
            <v>MO53.001</v>
          </cell>
          <cell r="B879" t="str">
            <v>Tub. galvanizada de 1/2" ó 3/4"</v>
          </cell>
          <cell r="C879" t="str">
            <v>m</v>
          </cell>
          <cell r="D879">
            <v>1</v>
          </cell>
          <cell r="E879">
            <v>5</v>
          </cell>
          <cell r="F879">
            <v>5</v>
          </cell>
        </row>
        <row r="880">
          <cell r="A880" t="str">
            <v>MO54.</v>
          </cell>
          <cell r="B880" t="str">
            <v>Columna de Abastecimiento de Agua por Planta</v>
          </cell>
          <cell r="D880" t="str">
            <v/>
          </cell>
          <cell r="F880" t="str">
            <v/>
          </cell>
        </row>
        <row r="881">
          <cell r="A881" t="str">
            <v>MO54.003</v>
          </cell>
          <cell r="B881" t="str">
            <v>Tub. galvanizada de 1 1/2" ó 2"</v>
          </cell>
          <cell r="C881" t="str">
            <v>u</v>
          </cell>
          <cell r="D881">
            <v>1</v>
          </cell>
          <cell r="E881">
            <v>100</v>
          </cell>
          <cell r="F881">
            <v>100</v>
          </cell>
        </row>
        <row r="882">
          <cell r="A882" t="str">
            <v>MO55.</v>
          </cell>
          <cell r="B882" t="str">
            <v>Instalación de Llaves de Paso y de Chorro</v>
          </cell>
          <cell r="D882" t="str">
            <v/>
          </cell>
          <cell r="F882" t="str">
            <v/>
          </cell>
        </row>
        <row r="883">
          <cell r="A883" t="str">
            <v>MO55.001</v>
          </cell>
          <cell r="B883" t="str">
            <v>Llave de Paso de 1/2" ó 3/4"</v>
          </cell>
          <cell r="C883" t="str">
            <v>u</v>
          </cell>
          <cell r="D883">
            <v>1</v>
          </cell>
          <cell r="E883">
            <v>63</v>
          </cell>
          <cell r="F883">
            <v>63</v>
          </cell>
        </row>
        <row r="884">
          <cell r="A884" t="str">
            <v>MO56.</v>
          </cell>
          <cell r="B884" t="str">
            <v>Sistema Completo de Tubos y Válvulas nec.para montura de Bomba de Agua</v>
          </cell>
          <cell r="D884" t="str">
            <v/>
          </cell>
          <cell r="F884" t="str">
            <v/>
          </cell>
        </row>
        <row r="885">
          <cell r="A885" t="str">
            <v>MO56.001</v>
          </cell>
          <cell r="B885" t="str">
            <v>Circuito en tuberia de 1/2" ó 3/4"</v>
          </cell>
          <cell r="C885" t="str">
            <v>u</v>
          </cell>
          <cell r="D885">
            <v>1</v>
          </cell>
          <cell r="E885">
            <v>1250</v>
          </cell>
          <cell r="F885">
            <v>1250</v>
          </cell>
        </row>
        <row r="886">
          <cell r="A886" t="str">
            <v>MO57.</v>
          </cell>
          <cell r="B886" t="str">
            <v>Montura Bomba de Agua sin el Circuito</v>
          </cell>
          <cell r="D886" t="str">
            <v/>
          </cell>
          <cell r="F886" t="str">
            <v/>
          </cell>
        </row>
        <row r="887">
          <cell r="A887" t="str">
            <v>MO57.001</v>
          </cell>
          <cell r="B887" t="str">
            <v>Bomba de Agua, tuberia de 1/2" ó 3/4"</v>
          </cell>
          <cell r="C887" t="str">
            <v>u</v>
          </cell>
          <cell r="D887">
            <v>1</v>
          </cell>
          <cell r="E887">
            <v>625</v>
          </cell>
          <cell r="F887">
            <v>625</v>
          </cell>
        </row>
        <row r="888">
          <cell r="A888" t="str">
            <v>MO58.</v>
          </cell>
          <cell r="B888" t="str">
            <v>Empalme a Tuberia de Agua Existente</v>
          </cell>
          <cell r="D888" t="str">
            <v/>
          </cell>
          <cell r="F888" t="str">
            <v/>
          </cell>
        </row>
        <row r="889">
          <cell r="A889" t="str">
            <v>MO58.001</v>
          </cell>
          <cell r="B889" t="str">
            <v>Empalme a tuberias de 1/2" ó 3/4"</v>
          </cell>
          <cell r="C889" t="str">
            <v>u</v>
          </cell>
          <cell r="D889">
            <v>1</v>
          </cell>
          <cell r="E889">
            <v>119</v>
          </cell>
          <cell r="F889">
            <v>119</v>
          </cell>
        </row>
        <row r="890">
          <cell r="A890" t="str">
            <v>MO59.</v>
          </cell>
          <cell r="B890" t="str">
            <v>Empalme a Tuberias Drenaje Existente</v>
          </cell>
          <cell r="D890" t="str">
            <v/>
          </cell>
          <cell r="F890" t="str">
            <v/>
          </cell>
        </row>
        <row r="891">
          <cell r="A891" t="str">
            <v>MO59.001</v>
          </cell>
          <cell r="B891" t="str">
            <v>Empalme a tuberias de 2"</v>
          </cell>
          <cell r="C891" t="str">
            <v>u</v>
          </cell>
          <cell r="D891">
            <v>1</v>
          </cell>
          <cell r="E891">
            <v>100</v>
          </cell>
          <cell r="F891">
            <v>100</v>
          </cell>
        </row>
        <row r="892">
          <cell r="A892" t="str">
            <v>MO59.002</v>
          </cell>
          <cell r="B892" t="str">
            <v>Empalme a tuberias de 3"</v>
          </cell>
          <cell r="C892" t="str">
            <v>u</v>
          </cell>
          <cell r="D892">
            <v>1</v>
          </cell>
          <cell r="E892">
            <v>125</v>
          </cell>
          <cell r="F892">
            <v>125</v>
          </cell>
        </row>
        <row r="893">
          <cell r="A893" t="str">
            <v>MO59.003</v>
          </cell>
          <cell r="B893" t="str">
            <v>Empalme a tuberias de 4"</v>
          </cell>
          <cell r="C893" t="str">
            <v>u</v>
          </cell>
          <cell r="D893">
            <v>1</v>
          </cell>
          <cell r="E893">
            <v>150</v>
          </cell>
          <cell r="F893">
            <v>150</v>
          </cell>
        </row>
        <row r="894">
          <cell r="A894" t="str">
            <v>MO71.</v>
          </cell>
          <cell r="B894" t="str">
            <v>Pintura</v>
          </cell>
          <cell r="D894" t="str">
            <v/>
          </cell>
          <cell r="F894" t="str">
            <v/>
          </cell>
        </row>
        <row r="895">
          <cell r="A895" t="str">
            <v>MO71.001</v>
          </cell>
          <cell r="B895" t="str">
            <v>Mano de obra pintura de agua, dos manos, p. lisa, sin piedra</v>
          </cell>
          <cell r="C895" t="str">
            <v>m2</v>
          </cell>
          <cell r="D895">
            <v>1</v>
          </cell>
          <cell r="E895">
            <v>4.8</v>
          </cell>
          <cell r="F895">
            <v>4.8</v>
          </cell>
        </row>
        <row r="896">
          <cell r="A896" t="str">
            <v>MO71.002</v>
          </cell>
          <cell r="B896" t="str">
            <v>Mano de obra pintura de agua, 1era. mano, p. lisa, sin piedra</v>
          </cell>
          <cell r="C896" t="str">
            <v>m2</v>
          </cell>
          <cell r="D896">
            <v>1</v>
          </cell>
          <cell r="E896">
            <v>2.6</v>
          </cell>
          <cell r="F896">
            <v>2.6</v>
          </cell>
        </row>
        <row r="897">
          <cell r="A897" t="str">
            <v>MO71.003</v>
          </cell>
          <cell r="B897" t="str">
            <v>Mano de obra pintura de agua, 2da. mano,  pared lisa</v>
          </cell>
          <cell r="C897" t="str">
            <v>m2</v>
          </cell>
          <cell r="D897">
            <v>1</v>
          </cell>
          <cell r="E897">
            <v>2.2000000000000002</v>
          </cell>
          <cell r="F897">
            <v>2.2000000000000002</v>
          </cell>
        </row>
        <row r="898">
          <cell r="A898" t="str">
            <v>MO71.009</v>
          </cell>
          <cell r="B898" t="str">
            <v>Mano de obra Pintura Impermeabilizante, 1era. mano</v>
          </cell>
          <cell r="C898" t="str">
            <v>m2</v>
          </cell>
          <cell r="D898">
            <v>1</v>
          </cell>
          <cell r="E898">
            <v>2.5</v>
          </cell>
          <cell r="F898">
            <v>2.5</v>
          </cell>
        </row>
        <row r="899">
          <cell r="A899" t="str">
            <v>MO71.010</v>
          </cell>
          <cell r="B899" t="str">
            <v>Mano de obra Pintura Impermeabilizante, 2da. mano</v>
          </cell>
          <cell r="C899" t="str">
            <v>m2</v>
          </cell>
          <cell r="D899">
            <v>1</v>
          </cell>
          <cell r="E899">
            <v>2.1</v>
          </cell>
          <cell r="F899">
            <v>2.1</v>
          </cell>
        </row>
        <row r="900">
          <cell r="A900" t="str">
            <v>MO76.</v>
          </cell>
          <cell r="B900" t="str">
            <v>Jornales Diarios Albañileria</v>
          </cell>
        </row>
        <row r="901">
          <cell r="A901" t="str">
            <v>MO76.001</v>
          </cell>
          <cell r="B901" t="str">
            <v>Técnico No Calificado o Peón</v>
          </cell>
          <cell r="C901" t="str">
            <v>día</v>
          </cell>
          <cell r="D901">
            <v>1</v>
          </cell>
          <cell r="E901">
            <v>104</v>
          </cell>
          <cell r="F901">
            <v>104</v>
          </cell>
        </row>
        <row r="902">
          <cell r="A902" t="str">
            <v>MO76.002</v>
          </cell>
          <cell r="B902" t="str">
            <v>Técnico Calificado</v>
          </cell>
          <cell r="C902" t="str">
            <v>día</v>
          </cell>
          <cell r="D902">
            <v>1</v>
          </cell>
          <cell r="E902">
            <v>118</v>
          </cell>
          <cell r="F902">
            <v>118</v>
          </cell>
        </row>
        <row r="903">
          <cell r="A903" t="str">
            <v>MO76.003</v>
          </cell>
          <cell r="B903" t="str">
            <v>Ayudante</v>
          </cell>
          <cell r="C903" t="str">
            <v>día</v>
          </cell>
          <cell r="D903">
            <v>1</v>
          </cell>
          <cell r="E903">
            <v>130</v>
          </cell>
          <cell r="F903">
            <v>130</v>
          </cell>
        </row>
        <row r="904">
          <cell r="A904" t="str">
            <v>MO76.004</v>
          </cell>
          <cell r="B904" t="str">
            <v>Operario Tercera Categoría</v>
          </cell>
          <cell r="C904" t="str">
            <v>día</v>
          </cell>
          <cell r="D904">
            <v>1</v>
          </cell>
          <cell r="E904">
            <v>163</v>
          </cell>
          <cell r="F904">
            <v>163</v>
          </cell>
        </row>
        <row r="905">
          <cell r="A905" t="str">
            <v>MO76.005</v>
          </cell>
          <cell r="B905" t="str">
            <v>Operario Segunda Categoría</v>
          </cell>
          <cell r="C905" t="str">
            <v>día</v>
          </cell>
          <cell r="D905">
            <v>1</v>
          </cell>
          <cell r="E905">
            <v>196</v>
          </cell>
          <cell r="F905">
            <v>196</v>
          </cell>
        </row>
        <row r="906">
          <cell r="A906" t="str">
            <v>MO76.006</v>
          </cell>
          <cell r="B906" t="str">
            <v>Operario Primera Categoría</v>
          </cell>
          <cell r="C906" t="str">
            <v>día</v>
          </cell>
          <cell r="D906">
            <v>1</v>
          </cell>
          <cell r="E906">
            <v>261</v>
          </cell>
          <cell r="F906">
            <v>261</v>
          </cell>
        </row>
        <row r="907">
          <cell r="A907" t="str">
            <v>MO76.007</v>
          </cell>
          <cell r="B907" t="str">
            <v>Maestro</v>
          </cell>
          <cell r="C907" t="str">
            <v>día</v>
          </cell>
          <cell r="D907">
            <v>1</v>
          </cell>
          <cell r="E907">
            <v>300</v>
          </cell>
          <cell r="F907">
            <v>300</v>
          </cell>
        </row>
        <row r="908">
          <cell r="A908" t="str">
            <v>MO77.</v>
          </cell>
          <cell r="B908" t="str">
            <v>Jornales Diarios Carpintería</v>
          </cell>
        </row>
        <row r="909">
          <cell r="A909" t="str">
            <v>MO77.001</v>
          </cell>
          <cell r="B909" t="str">
            <v>Técnico No Calificado o Peón</v>
          </cell>
          <cell r="C909" t="str">
            <v>día</v>
          </cell>
          <cell r="D909">
            <v>1</v>
          </cell>
          <cell r="E909">
            <v>104</v>
          </cell>
          <cell r="F909">
            <v>104</v>
          </cell>
        </row>
        <row r="910">
          <cell r="A910" t="str">
            <v>MO77.002</v>
          </cell>
          <cell r="B910" t="str">
            <v>Ayudante</v>
          </cell>
          <cell r="C910" t="str">
            <v>día</v>
          </cell>
          <cell r="D910">
            <v>1</v>
          </cell>
          <cell r="E910">
            <v>130</v>
          </cell>
          <cell r="F910">
            <v>130</v>
          </cell>
        </row>
        <row r="911">
          <cell r="A911" t="str">
            <v>MO77.003</v>
          </cell>
          <cell r="B911" t="str">
            <v>Carpintero Segunda Categoría</v>
          </cell>
          <cell r="C911" t="str">
            <v>día</v>
          </cell>
          <cell r="D911">
            <v>1</v>
          </cell>
          <cell r="E911">
            <v>196</v>
          </cell>
          <cell r="F911">
            <v>196</v>
          </cell>
        </row>
        <row r="912">
          <cell r="A912" t="str">
            <v>MO77.004</v>
          </cell>
          <cell r="B912" t="str">
            <v>Carpintero Primera Categoría</v>
          </cell>
          <cell r="C912" t="str">
            <v>día</v>
          </cell>
          <cell r="D912">
            <v>1</v>
          </cell>
          <cell r="E912">
            <v>261</v>
          </cell>
          <cell r="F912">
            <v>261</v>
          </cell>
        </row>
        <row r="913">
          <cell r="A913" t="str">
            <v>MO78.</v>
          </cell>
          <cell r="B913" t="str">
            <v>Jornales Diarios Plomería</v>
          </cell>
        </row>
        <row r="914">
          <cell r="A914" t="str">
            <v>MO78.001</v>
          </cell>
          <cell r="B914" t="str">
            <v>Peón Plomero</v>
          </cell>
          <cell r="C914" t="str">
            <v>día</v>
          </cell>
          <cell r="D914">
            <v>1</v>
          </cell>
          <cell r="E914">
            <v>130</v>
          </cell>
          <cell r="F914">
            <v>130</v>
          </cell>
        </row>
        <row r="915">
          <cell r="A915" t="str">
            <v>MO78.002</v>
          </cell>
          <cell r="B915" t="str">
            <v>Ayudante Plomero</v>
          </cell>
          <cell r="C915" t="str">
            <v>día</v>
          </cell>
          <cell r="D915">
            <v>1</v>
          </cell>
          <cell r="E915">
            <v>196</v>
          </cell>
          <cell r="F915">
            <v>196</v>
          </cell>
        </row>
        <row r="916">
          <cell r="A916" t="str">
            <v>MO78.003</v>
          </cell>
          <cell r="B916" t="str">
            <v>Plomero</v>
          </cell>
          <cell r="C916" t="str">
            <v>día</v>
          </cell>
          <cell r="D916">
            <v>1</v>
          </cell>
          <cell r="E916">
            <v>261</v>
          </cell>
          <cell r="F916">
            <v>261</v>
          </cell>
        </row>
        <row r="917">
          <cell r="A917" t="str">
            <v>MO78.004</v>
          </cell>
          <cell r="B917" t="str">
            <v>Maestro Plomero</v>
          </cell>
          <cell r="C917" t="str">
            <v>día</v>
          </cell>
          <cell r="D917">
            <v>1</v>
          </cell>
          <cell r="E917">
            <v>457</v>
          </cell>
          <cell r="F917">
            <v>457</v>
          </cell>
        </row>
        <row r="919">
          <cell r="A919" t="str">
            <v>99.</v>
          </cell>
          <cell r="B919" t="str">
            <v>DE LOS ANALISIS DE COSTOS</v>
          </cell>
          <cell r="F919" t="str">
            <v/>
          </cell>
        </row>
        <row r="920">
          <cell r="A920" t="str">
            <v>99.001</v>
          </cell>
          <cell r="B920" t="str">
            <v>Ligado y Vaciado a Mano</v>
          </cell>
          <cell r="C920" t="str">
            <v>m3</v>
          </cell>
          <cell r="D920">
            <v>1</v>
          </cell>
          <cell r="E920">
            <v>188.02</v>
          </cell>
          <cell r="F920">
            <v>188.02</v>
          </cell>
        </row>
        <row r="921">
          <cell r="A921" t="str">
            <v>99.002</v>
          </cell>
          <cell r="B921" t="str">
            <v>Ligado y Vaciado con Ligadora de 2 Fundas</v>
          </cell>
          <cell r="C921" t="str">
            <v>m3</v>
          </cell>
          <cell r="D921">
            <v>1</v>
          </cell>
          <cell r="E921">
            <v>81.459999999999994</v>
          </cell>
          <cell r="F921">
            <v>81.459999999999994</v>
          </cell>
        </row>
        <row r="922">
          <cell r="A922" t="str">
            <v>99.003</v>
          </cell>
          <cell r="B922" t="str">
            <v>Ligado y Vaciado con Ligadora de 2 Fundas y Winche</v>
          </cell>
          <cell r="C922" t="str">
            <v>m3</v>
          </cell>
          <cell r="D922">
            <v>1</v>
          </cell>
          <cell r="E922">
            <v>115.02</v>
          </cell>
          <cell r="F922">
            <v>115.02</v>
          </cell>
        </row>
        <row r="923">
          <cell r="A923" t="str">
            <v>99.011</v>
          </cell>
          <cell r="B923" t="str">
            <v>Hormigón (1:3:5) a Mano</v>
          </cell>
          <cell r="C923" t="str">
            <v>m3</v>
          </cell>
          <cell r="D923">
            <v>1</v>
          </cell>
          <cell r="E923">
            <v>945.07</v>
          </cell>
          <cell r="F923">
            <v>945.07</v>
          </cell>
        </row>
        <row r="924">
          <cell r="A924" t="str">
            <v>99.012</v>
          </cell>
          <cell r="B924" t="str">
            <v>Hormigón (1:3:5) En Ligadora</v>
          </cell>
          <cell r="C924" t="str">
            <v>m3</v>
          </cell>
          <cell r="D924">
            <v>1</v>
          </cell>
          <cell r="E924">
            <v>798.01</v>
          </cell>
          <cell r="F924">
            <v>798.01</v>
          </cell>
        </row>
        <row r="925">
          <cell r="A925" t="str">
            <v>99.013</v>
          </cell>
          <cell r="B925" t="str">
            <v>Hormigón (1:3:5) En Ligadora y Winche</v>
          </cell>
          <cell r="C925" t="str">
            <v>m3</v>
          </cell>
          <cell r="D925">
            <v>1</v>
          </cell>
          <cell r="E925">
            <v>844.33</v>
          </cell>
          <cell r="F925">
            <v>844.33</v>
          </cell>
        </row>
        <row r="926">
          <cell r="A926" t="str">
            <v>99.022</v>
          </cell>
          <cell r="B926" t="str">
            <v>Hormigón (1:2:4) En Ligadora</v>
          </cell>
          <cell r="C926" t="str">
            <v>m3</v>
          </cell>
          <cell r="D926">
            <v>1</v>
          </cell>
          <cell r="E926">
            <v>916.42</v>
          </cell>
          <cell r="F926">
            <v>916.42</v>
          </cell>
        </row>
        <row r="927">
          <cell r="A927" t="str">
            <v>99.023</v>
          </cell>
          <cell r="B927" t="str">
            <v>Hormigón (1:2:4) En Ligadora y Winche</v>
          </cell>
          <cell r="C927" t="str">
            <v>m3</v>
          </cell>
          <cell r="D927">
            <v>1</v>
          </cell>
          <cell r="E927">
            <v>961.73</v>
          </cell>
          <cell r="F927">
            <v>961.73</v>
          </cell>
        </row>
        <row r="928">
          <cell r="A928" t="str">
            <v>99.024</v>
          </cell>
          <cell r="B928" t="str">
            <v>Hormigón (1:2:4) Vaciado a Mano</v>
          </cell>
          <cell r="C928" t="str">
            <v>m3</v>
          </cell>
          <cell r="D928">
            <v>1</v>
          </cell>
          <cell r="E928">
            <v>1060.28</v>
          </cell>
          <cell r="F928">
            <v>1060.28</v>
          </cell>
        </row>
        <row r="930">
          <cell r="A930" t="str">
            <v>99.201</v>
          </cell>
          <cell r="B930" t="str">
            <v xml:space="preserve">Mortero (1:3) </v>
          </cell>
          <cell r="C930" t="str">
            <v>m3</v>
          </cell>
          <cell r="D930">
            <v>1</v>
          </cell>
          <cell r="E930">
            <v>1036.04</v>
          </cell>
          <cell r="F930">
            <v>1036.04</v>
          </cell>
        </row>
        <row r="931">
          <cell r="A931" t="str">
            <v>99.202</v>
          </cell>
          <cell r="B931" t="str">
            <v>Mezcla de Empañete</v>
          </cell>
          <cell r="C931" t="str">
            <v>m3</v>
          </cell>
          <cell r="D931">
            <v>1</v>
          </cell>
          <cell r="E931">
            <v>452.14</v>
          </cell>
          <cell r="F931">
            <v>452.14</v>
          </cell>
        </row>
        <row r="932">
          <cell r="A932">
            <v>99.203000000000003</v>
          </cell>
          <cell r="B932" t="str">
            <v>Mortero (1:4) para empañete</v>
          </cell>
          <cell r="C932" t="str">
            <v>m3</v>
          </cell>
          <cell r="D932">
            <v>1</v>
          </cell>
          <cell r="E932">
            <v>1218.02</v>
          </cell>
          <cell r="F932">
            <v>1218.02</v>
          </cell>
        </row>
        <row r="933">
          <cell r="A933">
            <v>99.203999999999994</v>
          </cell>
          <cell r="B933" t="str">
            <v xml:space="preserve">Mortero (1:2) </v>
          </cell>
          <cell r="C933" t="str">
            <v>m3</v>
          </cell>
          <cell r="D933">
            <v>1</v>
          </cell>
          <cell r="E933">
            <v>1680.68</v>
          </cell>
          <cell r="F933">
            <v>1680.68</v>
          </cell>
        </row>
        <row r="934">
          <cell r="A934">
            <v>99.204999999999998</v>
          </cell>
          <cell r="B934" t="str">
            <v>Mezcla de cal y arena para pisos</v>
          </cell>
          <cell r="C934" t="str">
            <v>m3</v>
          </cell>
          <cell r="D934">
            <v>1</v>
          </cell>
          <cell r="E934">
            <v>419.3</v>
          </cell>
          <cell r="F934">
            <v>419.3</v>
          </cell>
        </row>
        <row r="935">
          <cell r="A935">
            <v>99.206000000000003</v>
          </cell>
          <cell r="B935" t="str">
            <v>Mortero (1:10) para colocar pisos</v>
          </cell>
          <cell r="C935" t="str">
            <v>m3</v>
          </cell>
          <cell r="D935">
            <v>1</v>
          </cell>
          <cell r="E935">
            <v>934.22</v>
          </cell>
          <cell r="F935">
            <v>934.22</v>
          </cell>
        </row>
        <row r="936">
          <cell r="A936" t="str">
            <v>99.901</v>
          </cell>
          <cell r="B936" t="str">
            <v>Mortero (1:2) en Techo</v>
          </cell>
          <cell r="C936" t="str">
            <v>m3</v>
          </cell>
          <cell r="D936">
            <v>1</v>
          </cell>
          <cell r="E936">
            <v>1958.27</v>
          </cell>
          <cell r="F936">
            <v>1958.27</v>
          </cell>
        </row>
        <row r="938">
          <cell r="A938" t="str">
            <v>05.101</v>
          </cell>
          <cell r="B938" t="str">
            <v xml:space="preserve">Muros de Bloques de Hormigón 8" </v>
          </cell>
          <cell r="C938" t="str">
            <v>m2</v>
          </cell>
          <cell r="D938">
            <v>1</v>
          </cell>
          <cell r="E938">
            <v>294.55</v>
          </cell>
          <cell r="F938">
            <v>294.55</v>
          </cell>
        </row>
        <row r="939">
          <cell r="A939" t="str">
            <v>05.201</v>
          </cell>
          <cell r="B939" t="str">
            <v xml:space="preserve">Muros de Bloques de Hormigón 6" </v>
          </cell>
          <cell r="C939" t="str">
            <v>m2</v>
          </cell>
          <cell r="D939">
            <v>1</v>
          </cell>
          <cell r="E939">
            <v>200.3</v>
          </cell>
          <cell r="F939">
            <v>200.3</v>
          </cell>
        </row>
        <row r="940">
          <cell r="A940" t="str">
            <v>05.301</v>
          </cell>
          <cell r="B940" t="str">
            <v xml:space="preserve">Muros de Bloques de Hormigón 4" </v>
          </cell>
          <cell r="C940" t="str">
            <v>m2</v>
          </cell>
          <cell r="D940">
            <v>1</v>
          </cell>
          <cell r="E940">
            <v>174.08</v>
          </cell>
          <cell r="F940">
            <v>174.08</v>
          </cell>
        </row>
        <row r="942">
          <cell r="A942" t="str">
            <v>07.2-1</v>
          </cell>
          <cell r="B942" t="str">
            <v>Cantos</v>
          </cell>
          <cell r="C942" t="str">
            <v>m</v>
          </cell>
          <cell r="D942">
            <v>1</v>
          </cell>
          <cell r="E942">
            <v>24.39</v>
          </cell>
          <cell r="F942">
            <v>24.39</v>
          </cell>
        </row>
        <row r="943">
          <cell r="A943" t="str">
            <v>07.1-1</v>
          </cell>
          <cell r="B943" t="str">
            <v>Empañete maestreado Exterior</v>
          </cell>
          <cell r="C943" t="str">
            <v>m2</v>
          </cell>
          <cell r="D943">
            <v>1</v>
          </cell>
          <cell r="E943">
            <v>113.55</v>
          </cell>
          <cell r="F943">
            <v>113.55</v>
          </cell>
        </row>
        <row r="944">
          <cell r="A944" t="str">
            <v>07.1-2</v>
          </cell>
          <cell r="B944" t="str">
            <v>Empañete maestreado Interior</v>
          </cell>
          <cell r="C944" t="str">
            <v>m2</v>
          </cell>
          <cell r="D944">
            <v>1</v>
          </cell>
          <cell r="E944">
            <v>61</v>
          </cell>
          <cell r="F944">
            <v>61</v>
          </cell>
        </row>
      </sheetData>
      <sheetData sheetId="1">
        <row r="4">
          <cell r="A4" t="str">
            <v>Id.</v>
          </cell>
        </row>
      </sheetData>
      <sheetData sheetId="2">
        <row r="4">
          <cell r="A4" t="str">
            <v>Id.</v>
          </cell>
        </row>
      </sheetData>
      <sheetData sheetId="3">
        <row r="4">
          <cell r="A4" t="str">
            <v>Id.</v>
          </cell>
        </row>
      </sheetData>
      <sheetData sheetId="4">
        <row r="4">
          <cell r="A4" t="str">
            <v>Id.</v>
          </cell>
        </row>
      </sheetData>
      <sheetData sheetId="5">
        <row r="4">
          <cell r="A4" t="str">
            <v>Id.</v>
          </cell>
        </row>
      </sheetData>
      <sheetData sheetId="6">
        <row r="4">
          <cell r="A4" t="str">
            <v>Id.</v>
          </cell>
        </row>
      </sheetData>
      <sheetData sheetId="7"/>
      <sheetData sheetId="8">
        <row r="4">
          <cell r="A4" t="str">
            <v>Id.</v>
          </cell>
        </row>
      </sheetData>
      <sheetData sheetId="9">
        <row r="4">
          <cell r="A4" t="str">
            <v>Id.</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Hoja1"/>
      <sheetName val="Hoja2"/>
      <sheetName val="Hoja3"/>
    </sheetNames>
    <sheetDataSet>
      <sheetData sheetId="0"/>
      <sheetData sheetId="1" refreshError="1">
        <row r="561">
          <cell r="D561">
            <v>36.01</v>
          </cell>
        </row>
      </sheetData>
      <sheetData sheetId="2"/>
      <sheetData sheetId="3"/>
      <sheetData sheetId="4"/>
      <sheetData sheetId="5"/>
      <sheetData sheetId="6"/>
      <sheetData sheetId="7">
        <row r="568">
          <cell r="D568" t="str">
            <v>m3</v>
          </cell>
        </row>
      </sheetData>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
      <sheetName val="MEMO"/>
      <sheetName val="COF"/>
      <sheetName val="SEPAR"/>
      <sheetName val="CRONOGRAMA FISICO FINANCIERO"/>
    </sheetNames>
    <sheetDataSet>
      <sheetData sheetId="0">
        <row r="3">
          <cell r="D3">
            <v>1352</v>
          </cell>
        </row>
      </sheetData>
      <sheetData sheetId="1">
        <row r="3">
          <cell r="B3">
            <v>830</v>
          </cell>
        </row>
      </sheetData>
      <sheetData sheetId="2">
        <row r="239">
          <cell r="E239">
            <v>2690.8249815051054</v>
          </cell>
        </row>
      </sheetData>
      <sheetData sheetId="3"/>
      <sheetData sheetId="4"/>
      <sheetData sheetId="5"/>
      <sheetData sheetId="6"/>
      <sheetData sheetId="7"/>
      <sheetData sheetId="8"/>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
      <sheetName val="MEMO"/>
      <sheetName val="COF"/>
      <sheetName val="SEPAR"/>
    </sheetNames>
    <sheetDataSet>
      <sheetData sheetId="0"/>
      <sheetData sheetId="1"/>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ALISIS"/>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CRUCES"/>
      <sheetName val="ANAL. ESPECIAL"/>
      <sheetName val="LIST. MATER."/>
      <sheetName val="LIST.  M.O."/>
      <sheetName val="CAL. MAT. "/>
    </sheetNames>
    <sheetDataSet>
      <sheetData sheetId="0" refreshError="1"/>
      <sheetData sheetId="1" refreshError="1"/>
      <sheetData sheetId="2" refreshError="1"/>
      <sheetData sheetId="3" refreshError="1">
        <row r="39">
          <cell r="E39">
            <v>113.93</v>
          </cell>
        </row>
        <row r="67">
          <cell r="C67">
            <v>0.08</v>
          </cell>
          <cell r="D67">
            <v>0.12</v>
          </cell>
          <cell r="E67">
            <v>0.15</v>
          </cell>
        </row>
        <row r="69">
          <cell r="C69">
            <v>24.76</v>
          </cell>
          <cell r="D69">
            <v>32.5</v>
          </cell>
          <cell r="E69">
            <v>38.130000000000003</v>
          </cell>
        </row>
        <row r="70">
          <cell r="C70">
            <v>19.22</v>
          </cell>
          <cell r="D70">
            <v>28.07</v>
          </cell>
          <cell r="E70">
            <v>34.03</v>
          </cell>
        </row>
        <row r="71">
          <cell r="C71">
            <v>18.21</v>
          </cell>
          <cell r="D71">
            <v>27.14</v>
          </cell>
          <cell r="E71">
            <v>33.21</v>
          </cell>
        </row>
        <row r="72">
          <cell r="C72">
            <v>17.88</v>
          </cell>
          <cell r="D72">
            <v>26.82</v>
          </cell>
          <cell r="E72">
            <v>32.9</v>
          </cell>
        </row>
        <row r="74">
          <cell r="C74">
            <v>30.95</v>
          </cell>
          <cell r="D74">
            <v>40.619999999999997</v>
          </cell>
          <cell r="E74">
            <v>47.67</v>
          </cell>
        </row>
        <row r="75">
          <cell r="C75">
            <v>24.03</v>
          </cell>
          <cell r="D75">
            <v>35.08</v>
          </cell>
          <cell r="E75">
            <v>42.53</v>
          </cell>
        </row>
        <row r="76">
          <cell r="C76">
            <v>22.76</v>
          </cell>
          <cell r="D76">
            <v>33.92</v>
          </cell>
          <cell r="E76">
            <v>41.51</v>
          </cell>
        </row>
        <row r="77">
          <cell r="C77">
            <v>22.35</v>
          </cell>
          <cell r="D77">
            <v>33.53</v>
          </cell>
          <cell r="E77">
            <v>41.13</v>
          </cell>
        </row>
        <row r="94">
          <cell r="E94">
            <v>3737.5</v>
          </cell>
        </row>
        <row r="105">
          <cell r="E105">
            <v>340.01</v>
          </cell>
        </row>
        <row r="128">
          <cell r="E128">
            <v>330.75</v>
          </cell>
        </row>
        <row r="138">
          <cell r="E138">
            <v>885</v>
          </cell>
        </row>
      </sheetData>
      <sheetData sheetId="4" refreshError="1">
        <row r="32">
          <cell r="F32">
            <v>89.818181818181813</v>
          </cell>
        </row>
        <row r="38">
          <cell r="F38">
            <v>22.724637681159422</v>
          </cell>
        </row>
        <row r="44">
          <cell r="F44">
            <v>34.068965517241381</v>
          </cell>
        </row>
        <row r="50">
          <cell r="F50">
            <v>35.927272727272729</v>
          </cell>
        </row>
        <row r="56">
          <cell r="F56">
            <v>65.86666666666666</v>
          </cell>
        </row>
        <row r="70">
          <cell r="F70">
            <v>192.59090909090909</v>
          </cell>
        </row>
        <row r="78">
          <cell r="F78">
            <v>151.32142857142858</v>
          </cell>
        </row>
        <row r="85">
          <cell r="F85">
            <v>165.10526315789474</v>
          </cell>
        </row>
        <row r="98">
          <cell r="F98">
            <v>137.92650918635169</v>
          </cell>
        </row>
        <row r="104">
          <cell r="F104">
            <v>131.375</v>
          </cell>
        </row>
        <row r="128">
          <cell r="F128">
            <v>22.584</v>
          </cell>
        </row>
        <row r="135">
          <cell r="F135">
            <v>18.82</v>
          </cell>
        </row>
        <row r="142">
          <cell r="F142">
            <v>20.911111111111111</v>
          </cell>
        </row>
        <row r="151">
          <cell r="F151">
            <v>151.84</v>
          </cell>
        </row>
        <row r="157">
          <cell r="F157">
            <v>546.85714285714289</v>
          </cell>
        </row>
        <row r="165">
          <cell r="F165">
            <v>176.751269035533</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C"/>
      <sheetName val="POLIETILENO"/>
      <sheetName val="Analisis formato"/>
      <sheetName val="REGISTROS DE LADRILLOS Y H.A. "/>
      <sheetName val="ANCLAJES DE H.A."/>
      <sheetName val=" MOVIMIENTO DE TIERRA EQUIPO"/>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VERJA PERIMETRAL"/>
      <sheetName val="PRES. (02-02-21)"/>
      <sheetName val="PRES."/>
      <sheetName val="ANALISIS"/>
      <sheetName val="Cal."/>
      <sheetName val="Hoja1"/>
    </sheetNames>
    <sheetDataSet>
      <sheetData sheetId="0"/>
      <sheetData sheetId="1"/>
      <sheetData sheetId="2">
        <row r="120">
          <cell r="J120">
            <v>336784.47</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INS"/>
    </sheetNames>
    <sheetDataSet>
      <sheetData sheetId="0" refreshError="1"/>
      <sheetData sheetId="1"/>
      <sheetData sheetId="2"/>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 val="P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C.S."/>
      <sheetName val="PRESU"/>
      <sheetName val="ANALISIS "/>
      <sheetName val="analisis basicos"/>
      <sheetName val="Analisis Complementarios "/>
      <sheetName val="COLOCACION DE TUBERIA"/>
      <sheetName val="MOVIMIENTO DE TIERRA"/>
      <sheetName val=" MOVIMIENTO DE TIERRA EQUIPO"/>
      <sheetName val="ANCLAJES DE H.A."/>
      <sheetName val="REGISTROS DE LADRILLOS Y H.A. "/>
      <sheetName val="RECLAMACION 1."/>
      <sheetName val="ANALISIS CASETAS"/>
      <sheetName val="VERJA NUEVA"/>
    </sheetNames>
    <sheetDataSet>
      <sheetData sheetId="0" refreshError="1">
        <row r="9">
          <cell r="D9">
            <v>1500</v>
          </cell>
        </row>
        <row r="17">
          <cell r="D17">
            <v>35</v>
          </cell>
        </row>
        <row r="130">
          <cell r="D130">
            <v>45</v>
          </cell>
        </row>
        <row r="131">
          <cell r="D131">
            <v>20</v>
          </cell>
        </row>
        <row r="132">
          <cell r="D132">
            <v>35</v>
          </cell>
        </row>
        <row r="133">
          <cell r="D133">
            <v>1350</v>
          </cell>
        </row>
      </sheetData>
      <sheetData sheetId="1" refreshError="1">
        <row r="11">
          <cell r="B11">
            <v>1.4428531746653097</v>
          </cell>
        </row>
        <row r="247">
          <cell r="B247">
            <v>1.4428531746653097</v>
          </cell>
        </row>
        <row r="256">
          <cell r="B256">
            <v>13.707105159320442</v>
          </cell>
        </row>
        <row r="612">
          <cell r="B612">
            <v>220.75653572379238</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 val="INSU"/>
      <sheetName val="MO"/>
      <sheetName val="Ins 2"/>
      <sheetName val="INSUMOS"/>
      <sheetName val="Herram"/>
      <sheetName val="Hoja1"/>
      <sheetName val="Hoja2"/>
      <sheetName val="Hoja3"/>
    </sheetNames>
    <sheetDataSet>
      <sheetData sheetId="0">
        <row r="561">
          <cell r="D561">
            <v>36.01</v>
          </cell>
        </row>
      </sheetData>
      <sheetData sheetId="1" refreshError="1">
        <row r="561">
          <cell r="D561">
            <v>36.01</v>
          </cell>
        </row>
        <row r="563">
          <cell r="D563">
            <v>349440</v>
          </cell>
        </row>
        <row r="568">
          <cell r="D568">
            <v>448000</v>
          </cell>
        </row>
      </sheetData>
      <sheetData sheetId="2"/>
      <sheetData sheetId="3"/>
      <sheetData sheetId="4"/>
      <sheetData sheetId="5"/>
      <sheetData sheetId="6"/>
      <sheetData sheetId="7">
        <row r="568">
          <cell r="D568" t="str">
            <v>m3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10181-3(Rescision)"/>
      <sheetName val="CUB-10181-3(Rescision) (2)"/>
      <sheetName val="CUB-10181-3(Rescision) (3)"/>
      <sheetName val="ANALISIS 2009"/>
      <sheetName val="Módulo1"/>
    </sheetNames>
    <sheetDataSet>
      <sheetData sheetId="0"/>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 val="via"/>
      <sheetName val="GONZALO"/>
      <sheetName val="MATERIALES LISTADO"/>
      <sheetName val="Insumos"/>
      <sheetName val="Análisis"/>
      <sheetName val="INS"/>
    </sheetNames>
    <sheetDataSet>
      <sheetData sheetId="0" refreshError="1">
        <row r="9">
          <cell r="C9">
            <v>1525</v>
          </cell>
        </row>
        <row r="10">
          <cell r="C10">
            <v>578</v>
          </cell>
        </row>
        <row r="12">
          <cell r="C12">
            <v>356</v>
          </cell>
        </row>
      </sheetData>
      <sheetData sheetId="1" refreshError="1"/>
      <sheetData sheetId="2" refreshError="1"/>
      <sheetData sheetId="3" refreshError="1"/>
      <sheetData sheetId="4">
        <row r="9">
          <cell r="C9">
            <v>1</v>
          </cell>
        </row>
      </sheetData>
      <sheetData sheetId="5" refreshError="1"/>
      <sheetData sheetId="6" refreshError="1"/>
      <sheetData sheetId="7" refreshError="1"/>
      <sheetData sheetId="8" refreshError="1"/>
      <sheetData sheetId="9" refreshError="1"/>
      <sheetData sheetId="10">
        <row r="9">
          <cell r="C9">
            <v>1</v>
          </cell>
        </row>
      </sheetData>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9"/>
  <sheetViews>
    <sheetView tabSelected="1" view="pageBreakPreview" zoomScaleNormal="100" zoomScaleSheetLayoutView="100" workbookViewId="0">
      <selection activeCell="A4" sqref="A4:F4"/>
    </sheetView>
  </sheetViews>
  <sheetFormatPr baseColWidth="10" defaultColWidth="9.140625" defaultRowHeight="12.75" x14ac:dyDescent="0.25"/>
  <cols>
    <col min="1" max="1" width="9.140625" style="16" customWidth="1"/>
    <col min="2" max="2" width="54.140625" style="17" customWidth="1"/>
    <col min="3" max="3" width="12.140625" style="2" customWidth="1"/>
    <col min="4" max="4" width="5.7109375" style="18" customWidth="1"/>
    <col min="5" max="5" width="12.5703125" style="19" customWidth="1"/>
    <col min="6" max="6" width="14.7109375" style="39" customWidth="1"/>
    <col min="7" max="7" width="14.42578125" style="1" bestFit="1" customWidth="1"/>
    <col min="8" max="8" width="14.42578125" style="1" customWidth="1"/>
    <col min="9" max="9" width="10.42578125" style="1" customWidth="1"/>
    <col min="10" max="10" width="13.7109375" style="1" customWidth="1"/>
    <col min="11" max="11" width="14.7109375" style="1" customWidth="1"/>
    <col min="12" max="12" width="10.140625" style="1" bestFit="1" customWidth="1"/>
    <col min="13" max="16384" width="9.140625" style="1"/>
  </cols>
  <sheetData>
    <row r="1" spans="1:10" s="40" customFormat="1" x14ac:dyDescent="0.25">
      <c r="A1" s="1719"/>
      <c r="B1" s="1719"/>
      <c r="C1" s="1719"/>
      <c r="D1" s="1719"/>
      <c r="E1" s="1719"/>
      <c r="F1" s="1719"/>
    </row>
    <row r="2" spans="1:10" s="40" customFormat="1" x14ac:dyDescent="0.25">
      <c r="A2" s="1719"/>
      <c r="B2" s="1719"/>
      <c r="C2" s="1719"/>
      <c r="D2" s="1719"/>
      <c r="E2" s="1719"/>
      <c r="F2" s="1719"/>
    </row>
    <row r="3" spans="1:10" s="40" customFormat="1" x14ac:dyDescent="0.25">
      <c r="A3" s="1719"/>
      <c r="B3" s="1719"/>
      <c r="C3" s="1719"/>
      <c r="D3" s="1719"/>
      <c r="E3" s="1719"/>
      <c r="F3" s="1719"/>
    </row>
    <row r="4" spans="1:10" s="40" customFormat="1" x14ac:dyDescent="0.25">
      <c r="A4" s="1719"/>
      <c r="B4" s="1719"/>
      <c r="C4" s="1719"/>
      <c r="D4" s="1719"/>
      <c r="E4" s="1719"/>
      <c r="F4" s="1719"/>
    </row>
    <row r="5" spans="1:10" ht="5.0999999999999996" customHeight="1" x14ac:dyDescent="0.25">
      <c r="A5" s="1422"/>
      <c r="B5" s="1422"/>
      <c r="C5" s="1422"/>
      <c r="D5" s="1422"/>
      <c r="E5" s="1422"/>
      <c r="F5" s="1422"/>
    </row>
    <row r="6" spans="1:10" x14ac:dyDescent="0.25">
      <c r="A6" s="1423"/>
      <c r="B6" s="1422"/>
      <c r="C6" s="1422"/>
      <c r="D6" s="1422"/>
      <c r="E6" s="1422"/>
      <c r="F6" s="1422"/>
    </row>
    <row r="7" spans="1:10" x14ac:dyDescent="0.25">
      <c r="A7" s="1720" t="s">
        <v>2</v>
      </c>
      <c r="B7" s="1720"/>
      <c r="C7" s="1720"/>
      <c r="D7" s="1720"/>
      <c r="E7" s="1720"/>
      <c r="F7" s="1720"/>
    </row>
    <row r="8" spans="1:10" x14ac:dyDescent="0.25">
      <c r="A8" s="1717" t="s">
        <v>3</v>
      </c>
      <c r="B8" s="1717"/>
      <c r="C8" s="1424"/>
      <c r="D8" s="1718" t="s">
        <v>4</v>
      </c>
      <c r="E8" s="1718"/>
      <c r="F8" s="1425"/>
    </row>
    <row r="9" spans="1:10" ht="5.0999999999999996" customHeight="1" x14ac:dyDescent="0.25">
      <c r="A9" s="1713"/>
      <c r="B9" s="1713"/>
      <c r="C9" s="1713"/>
      <c r="D9" s="1713"/>
      <c r="E9" s="1713"/>
      <c r="F9" s="1713"/>
    </row>
    <row r="10" spans="1:10" x14ac:dyDescent="0.25">
      <c r="A10" s="1496" t="s">
        <v>5</v>
      </c>
      <c r="B10" s="1497" t="s">
        <v>6</v>
      </c>
      <c r="C10" s="1498" t="s">
        <v>7</v>
      </c>
      <c r="D10" s="1498" t="s">
        <v>8</v>
      </c>
      <c r="E10" s="1426" t="s">
        <v>9</v>
      </c>
      <c r="F10" s="1426" t="s">
        <v>10</v>
      </c>
      <c r="J10" s="3"/>
    </row>
    <row r="11" spans="1:10" ht="5.0999999999999996" customHeight="1" x14ac:dyDescent="0.25">
      <c r="A11" s="1499"/>
      <c r="B11" s="1500"/>
      <c r="C11" s="1501"/>
      <c r="D11" s="1501"/>
      <c r="E11" s="1427"/>
      <c r="F11" s="1427"/>
    </row>
    <row r="12" spans="1:10" ht="12.75" customHeight="1" x14ac:dyDescent="0.25">
      <c r="A12" s="1502"/>
      <c r="B12" s="1503"/>
      <c r="C12" s="1504"/>
      <c r="D12" s="1505"/>
      <c r="E12" s="1428"/>
      <c r="F12" s="4"/>
      <c r="G12" s="5"/>
      <c r="H12" s="5"/>
      <c r="I12" s="6"/>
    </row>
    <row r="13" spans="1:10" ht="12.75" customHeight="1" x14ac:dyDescent="0.25">
      <c r="A13" s="1506" t="s">
        <v>11</v>
      </c>
      <c r="B13" s="1507" t="s">
        <v>12</v>
      </c>
      <c r="C13" s="1508"/>
      <c r="D13" s="1509"/>
      <c r="E13" s="1429"/>
      <c r="F13" s="4"/>
      <c r="G13" s="5"/>
      <c r="H13" s="5"/>
    </row>
    <row r="14" spans="1:10" ht="12.75" customHeight="1" x14ac:dyDescent="0.25">
      <c r="A14" s="1510" t="s">
        <v>13</v>
      </c>
      <c r="B14" s="1511" t="s">
        <v>14</v>
      </c>
      <c r="C14" s="1512"/>
      <c r="D14" s="1513"/>
      <c r="E14" s="1430"/>
      <c r="F14" s="1430"/>
      <c r="G14" s="5"/>
      <c r="H14" s="5"/>
    </row>
    <row r="15" spans="1:10" ht="5.0999999999999996" customHeight="1" x14ac:dyDescent="0.25">
      <c r="A15" s="1514"/>
      <c r="B15" s="1515"/>
      <c r="C15" s="1508"/>
      <c r="D15" s="1516"/>
      <c r="E15" s="1429"/>
      <c r="F15" s="4"/>
      <c r="G15" s="5"/>
      <c r="H15" s="5"/>
    </row>
    <row r="16" spans="1:10" ht="12.75" customHeight="1" x14ac:dyDescent="0.25">
      <c r="A16" s="1517">
        <v>1</v>
      </c>
      <c r="B16" s="1511" t="s">
        <v>15</v>
      </c>
      <c r="C16" s="1512"/>
      <c r="D16" s="1513"/>
      <c r="E16" s="1430"/>
      <c r="F16" s="1430"/>
      <c r="G16" s="5"/>
      <c r="H16" s="5"/>
    </row>
    <row r="17" spans="1:10" ht="12.75" customHeight="1" x14ac:dyDescent="0.25">
      <c r="A17" s="1518">
        <v>1.1000000000000001</v>
      </c>
      <c r="B17" s="1519" t="s">
        <v>16</v>
      </c>
      <c r="C17" s="1520">
        <v>10</v>
      </c>
      <c r="D17" s="1521" t="s">
        <v>8</v>
      </c>
      <c r="E17" s="1431"/>
      <c r="F17" s="1432">
        <f>+E17*C17</f>
        <v>0</v>
      </c>
      <c r="G17" s="5"/>
      <c r="H17" s="5"/>
      <c r="I17" s="6"/>
    </row>
    <row r="18" spans="1:10" ht="12.75" customHeight="1" x14ac:dyDescent="0.25">
      <c r="A18" s="1518">
        <f>+A17+0.1</f>
        <v>1.2000000000000002</v>
      </c>
      <c r="B18" s="1519" t="s">
        <v>17</v>
      </c>
      <c r="C18" s="1520">
        <v>5</v>
      </c>
      <c r="D18" s="1521" t="s">
        <v>8</v>
      </c>
      <c r="E18" s="1431"/>
      <c r="F18" s="1432">
        <f t="shared" ref="F18:F81" si="0">+E18*C18</f>
        <v>0</v>
      </c>
      <c r="G18" s="5"/>
      <c r="H18" s="5"/>
      <c r="I18" s="6"/>
    </row>
    <row r="19" spans="1:10" ht="12.75" customHeight="1" x14ac:dyDescent="0.25">
      <c r="A19" s="1518">
        <f t="shared" ref="A19:A23" si="1">+A18+0.1</f>
        <v>1.3000000000000003</v>
      </c>
      <c r="B19" s="1522" t="s">
        <v>18</v>
      </c>
      <c r="C19" s="1520">
        <v>2</v>
      </c>
      <c r="D19" s="1521" t="s">
        <v>8</v>
      </c>
      <c r="E19" s="1431"/>
      <c r="F19" s="1432">
        <f t="shared" si="0"/>
        <v>0</v>
      </c>
      <c r="G19" s="5"/>
      <c r="H19" s="5"/>
    </row>
    <row r="20" spans="1:10" ht="12.75" customHeight="1" x14ac:dyDescent="0.25">
      <c r="A20" s="1518">
        <f t="shared" si="1"/>
        <v>1.4000000000000004</v>
      </c>
      <c r="B20" s="1519" t="s">
        <v>19</v>
      </c>
      <c r="C20" s="1523">
        <v>9</v>
      </c>
      <c r="D20" s="1521" t="s">
        <v>8</v>
      </c>
      <c r="E20" s="1431"/>
      <c r="F20" s="1432">
        <f t="shared" si="0"/>
        <v>0</v>
      </c>
      <c r="G20" s="5"/>
      <c r="H20" s="5"/>
    </row>
    <row r="21" spans="1:10" ht="12.75" customHeight="1" x14ac:dyDescent="0.25">
      <c r="A21" s="1518">
        <f t="shared" si="1"/>
        <v>1.5000000000000004</v>
      </c>
      <c r="B21" s="1522" t="s">
        <v>20</v>
      </c>
      <c r="C21" s="1520">
        <v>8</v>
      </c>
      <c r="D21" s="1521" t="s">
        <v>8</v>
      </c>
      <c r="E21" s="1433"/>
      <c r="F21" s="1432">
        <f t="shared" si="0"/>
        <v>0</v>
      </c>
      <c r="G21" s="5"/>
      <c r="H21" s="5"/>
    </row>
    <row r="22" spans="1:10" ht="12.75" customHeight="1" x14ac:dyDescent="0.25">
      <c r="A22" s="1518">
        <f t="shared" si="1"/>
        <v>1.6000000000000005</v>
      </c>
      <c r="B22" s="1522" t="s">
        <v>21</v>
      </c>
      <c r="C22" s="1520">
        <v>1</v>
      </c>
      <c r="D22" s="1521" t="s">
        <v>8</v>
      </c>
      <c r="E22" s="1433"/>
      <c r="F22" s="1432">
        <f t="shared" si="0"/>
        <v>0</v>
      </c>
      <c r="G22" s="5"/>
      <c r="H22" s="5"/>
    </row>
    <row r="23" spans="1:10" ht="12.75" customHeight="1" x14ac:dyDescent="0.25">
      <c r="A23" s="1518">
        <f t="shared" si="1"/>
        <v>1.7000000000000006</v>
      </c>
      <c r="B23" s="1524" t="s">
        <v>22</v>
      </c>
      <c r="C23" s="1525">
        <v>15</v>
      </c>
      <c r="D23" s="1526" t="s">
        <v>8</v>
      </c>
      <c r="E23" s="1434"/>
      <c r="F23" s="1432">
        <f t="shared" si="0"/>
        <v>0</v>
      </c>
      <c r="G23" s="5"/>
      <c r="H23" s="5"/>
      <c r="J23" s="6"/>
    </row>
    <row r="24" spans="1:10" ht="12.75" customHeight="1" x14ac:dyDescent="0.25">
      <c r="A24" s="1518">
        <v>1.8</v>
      </c>
      <c r="B24" s="1522" t="s">
        <v>23</v>
      </c>
      <c r="C24" s="1520">
        <v>2</v>
      </c>
      <c r="D24" s="1521" t="s">
        <v>8</v>
      </c>
      <c r="E24" s="1431"/>
      <c r="F24" s="1432">
        <f t="shared" si="0"/>
        <v>0</v>
      </c>
      <c r="G24" s="5"/>
      <c r="H24" s="5"/>
      <c r="J24" s="6"/>
    </row>
    <row r="25" spans="1:10" ht="12.75" customHeight="1" x14ac:dyDescent="0.25">
      <c r="A25" s="1518">
        <v>1.9</v>
      </c>
      <c r="B25" s="1522" t="s">
        <v>24</v>
      </c>
      <c r="C25" s="1520">
        <v>1</v>
      </c>
      <c r="D25" s="1521" t="s">
        <v>8</v>
      </c>
      <c r="E25" s="1431"/>
      <c r="F25" s="1432">
        <f t="shared" si="0"/>
        <v>0</v>
      </c>
      <c r="G25" s="5"/>
      <c r="H25" s="5"/>
      <c r="J25" s="6"/>
    </row>
    <row r="26" spans="1:10" ht="12.75" customHeight="1" x14ac:dyDescent="0.25">
      <c r="A26" s="1527">
        <v>1.1000000000000001</v>
      </c>
      <c r="B26" s="1522" t="s">
        <v>25</v>
      </c>
      <c r="C26" s="1520">
        <v>1</v>
      </c>
      <c r="D26" s="1521" t="s">
        <v>8</v>
      </c>
      <c r="E26" s="1431"/>
      <c r="F26" s="1432">
        <f t="shared" si="0"/>
        <v>0</v>
      </c>
      <c r="G26" s="5"/>
      <c r="H26" s="5"/>
    </row>
    <row r="27" spans="1:10" ht="25.5" customHeight="1" x14ac:dyDescent="0.25">
      <c r="A27" s="1527">
        <v>1.1100000000000001</v>
      </c>
      <c r="B27" s="1522" t="s">
        <v>26</v>
      </c>
      <c r="C27" s="1528">
        <v>1</v>
      </c>
      <c r="D27" s="1529" t="s">
        <v>8</v>
      </c>
      <c r="E27" s="1435"/>
      <c r="F27" s="1432">
        <f t="shared" si="0"/>
        <v>0</v>
      </c>
      <c r="G27" s="5"/>
      <c r="H27" s="5"/>
      <c r="J27" s="6"/>
    </row>
    <row r="28" spans="1:10" ht="12.75" customHeight="1" x14ac:dyDescent="0.25">
      <c r="A28" s="1527">
        <v>1.1200000000000001</v>
      </c>
      <c r="B28" s="1522" t="s">
        <v>27</v>
      </c>
      <c r="C28" s="1520">
        <v>1</v>
      </c>
      <c r="D28" s="1521" t="s">
        <v>8</v>
      </c>
      <c r="E28" s="1431"/>
      <c r="F28" s="1432">
        <f t="shared" si="0"/>
        <v>0</v>
      </c>
      <c r="G28" s="5"/>
      <c r="H28" s="5"/>
      <c r="J28" s="6"/>
    </row>
    <row r="29" spans="1:10" ht="12.75" customHeight="1" x14ac:dyDescent="0.25">
      <c r="A29" s="1527">
        <v>1.1299999999999999</v>
      </c>
      <c r="B29" s="1522" t="s">
        <v>28</v>
      </c>
      <c r="C29" s="1528">
        <v>1</v>
      </c>
      <c r="D29" s="1529" t="s">
        <v>8</v>
      </c>
      <c r="E29" s="1435"/>
      <c r="F29" s="1432">
        <f t="shared" si="0"/>
        <v>0</v>
      </c>
      <c r="G29" s="5"/>
      <c r="H29" s="5"/>
    </row>
    <row r="30" spans="1:10" ht="25.5" customHeight="1" x14ac:dyDescent="0.25">
      <c r="A30" s="1527">
        <v>1.1399999999999999</v>
      </c>
      <c r="B30" s="1522" t="s">
        <v>29</v>
      </c>
      <c r="C30" s="1528">
        <v>3</v>
      </c>
      <c r="D30" s="1529" t="s">
        <v>8</v>
      </c>
      <c r="E30" s="1436"/>
      <c r="F30" s="1432">
        <f t="shared" si="0"/>
        <v>0</v>
      </c>
      <c r="G30" s="5"/>
      <c r="H30" s="5"/>
    </row>
    <row r="31" spans="1:10" ht="12.75" customHeight="1" x14ac:dyDescent="0.25">
      <c r="A31" s="1527">
        <v>1.1499999999999999</v>
      </c>
      <c r="B31" s="1522" t="s">
        <v>30</v>
      </c>
      <c r="C31" s="1520">
        <v>8500</v>
      </c>
      <c r="D31" s="1521" t="s">
        <v>31</v>
      </c>
      <c r="E31" s="1437"/>
      <c r="F31" s="1432">
        <f t="shared" si="0"/>
        <v>0</v>
      </c>
      <c r="G31" s="5"/>
      <c r="H31" s="5"/>
    </row>
    <row r="32" spans="1:10" ht="12.75" customHeight="1" x14ac:dyDescent="0.25">
      <c r="A32" s="1527">
        <v>1.1599999999999999</v>
      </c>
      <c r="B32" s="1530" t="s">
        <v>32</v>
      </c>
      <c r="C32" s="1531">
        <v>3</v>
      </c>
      <c r="D32" s="1532" t="s">
        <v>8</v>
      </c>
      <c r="E32" s="1431"/>
      <c r="F32" s="1432">
        <f t="shared" si="0"/>
        <v>0</v>
      </c>
      <c r="G32" s="5"/>
      <c r="H32" s="5"/>
    </row>
    <row r="33" spans="1:9" ht="12.75" customHeight="1" x14ac:dyDescent="0.25">
      <c r="A33" s="1527">
        <v>1.17</v>
      </c>
      <c r="B33" s="1524" t="s">
        <v>33</v>
      </c>
      <c r="C33" s="1525">
        <v>3</v>
      </c>
      <c r="D33" s="1526" t="s">
        <v>8</v>
      </c>
      <c r="E33" s="1434"/>
      <c r="F33" s="1432">
        <f t="shared" si="0"/>
        <v>0</v>
      </c>
      <c r="G33" s="5"/>
      <c r="H33" s="5"/>
    </row>
    <row r="34" spans="1:9" ht="12.75" customHeight="1" x14ac:dyDescent="0.25">
      <c r="A34" s="1527">
        <v>1.18</v>
      </c>
      <c r="B34" s="1533" t="s">
        <v>34</v>
      </c>
      <c r="C34" s="7">
        <v>15</v>
      </c>
      <c r="D34" s="1534" t="s">
        <v>8</v>
      </c>
      <c r="E34" s="8"/>
      <c r="F34" s="1432">
        <f t="shared" si="0"/>
        <v>0</v>
      </c>
      <c r="G34" s="5"/>
      <c r="H34" s="5"/>
    </row>
    <row r="35" spans="1:9" ht="12.75" customHeight="1" x14ac:dyDescent="0.25">
      <c r="A35" s="1527">
        <v>1.19</v>
      </c>
      <c r="B35" s="1530" t="s">
        <v>35</v>
      </c>
      <c r="C35" s="1535">
        <v>15</v>
      </c>
      <c r="D35" s="1532" t="s">
        <v>8</v>
      </c>
      <c r="E35" s="8"/>
      <c r="F35" s="1432">
        <f t="shared" si="0"/>
        <v>0</v>
      </c>
      <c r="G35" s="5"/>
      <c r="H35" s="5"/>
    </row>
    <row r="36" spans="1:9" ht="12.75" customHeight="1" x14ac:dyDescent="0.25">
      <c r="A36" s="1527">
        <v>1.2</v>
      </c>
      <c r="B36" s="1524" t="s">
        <v>36</v>
      </c>
      <c r="C36" s="1525">
        <v>9</v>
      </c>
      <c r="D36" s="1526" t="s">
        <v>8</v>
      </c>
      <c r="E36" s="1438"/>
      <c r="F36" s="1432">
        <f t="shared" si="0"/>
        <v>0</v>
      </c>
      <c r="G36" s="5"/>
      <c r="H36" s="5"/>
    </row>
    <row r="37" spans="1:9" ht="12.75" customHeight="1" x14ac:dyDescent="0.25">
      <c r="A37" s="1527">
        <v>1.21</v>
      </c>
      <c r="B37" s="1524" t="s">
        <v>37</v>
      </c>
      <c r="C37" s="1525">
        <v>1</v>
      </c>
      <c r="D37" s="1526" t="s">
        <v>8</v>
      </c>
      <c r="E37" s="1434"/>
      <c r="F37" s="1432">
        <f t="shared" si="0"/>
        <v>0</v>
      </c>
      <c r="G37" s="5"/>
      <c r="H37" s="5"/>
      <c r="I37" s="6"/>
    </row>
    <row r="38" spans="1:9" ht="25.5" customHeight="1" x14ac:dyDescent="0.25">
      <c r="A38" s="1527">
        <v>1.22</v>
      </c>
      <c r="B38" s="1524" t="s">
        <v>38</v>
      </c>
      <c r="C38" s="1536">
        <v>1</v>
      </c>
      <c r="D38" s="1537" t="s">
        <v>8</v>
      </c>
      <c r="E38" s="1439"/>
      <c r="F38" s="1432">
        <f t="shared" si="0"/>
        <v>0</v>
      </c>
      <c r="G38" s="5"/>
      <c r="H38" s="5"/>
    </row>
    <row r="39" spans="1:9" x14ac:dyDescent="0.25">
      <c r="A39" s="1527">
        <v>1.23</v>
      </c>
      <c r="B39" s="1524" t="s">
        <v>72</v>
      </c>
      <c r="C39" s="1525">
        <v>1</v>
      </c>
      <c r="D39" s="1526" t="s">
        <v>8</v>
      </c>
      <c r="E39" s="1434"/>
      <c r="F39" s="1432">
        <f t="shared" si="0"/>
        <v>0</v>
      </c>
      <c r="G39" s="5"/>
      <c r="H39" s="5"/>
    </row>
    <row r="40" spans="1:9" ht="8.25" customHeight="1" x14ac:dyDescent="0.25">
      <c r="A40" s="1527"/>
      <c r="B40" s="1524"/>
      <c r="C40" s="1525"/>
      <c r="D40" s="1526"/>
      <c r="E40" s="1434"/>
      <c r="F40" s="1432">
        <f t="shared" si="0"/>
        <v>0</v>
      </c>
      <c r="G40" s="5"/>
      <c r="H40" s="5"/>
      <c r="I40" s="6"/>
    </row>
    <row r="41" spans="1:9" ht="12.75" customHeight="1" x14ac:dyDescent="0.25">
      <c r="A41" s="1538"/>
      <c r="B41" s="1539"/>
      <c r="C41" s="1540"/>
      <c r="D41" s="1541"/>
      <c r="E41" s="1440"/>
      <c r="F41" s="1432">
        <f t="shared" si="0"/>
        <v>0</v>
      </c>
      <c r="G41" s="5"/>
      <c r="H41" s="5"/>
    </row>
    <row r="42" spans="1:9" ht="25.5" customHeight="1" x14ac:dyDescent="0.25">
      <c r="A42" s="1542">
        <v>2</v>
      </c>
      <c r="B42" s="1543" t="s">
        <v>39</v>
      </c>
      <c r="C42" s="7"/>
      <c r="D42" s="1544"/>
      <c r="E42" s="1441"/>
      <c r="F42" s="1432">
        <f t="shared" si="0"/>
        <v>0</v>
      </c>
      <c r="G42" s="5"/>
      <c r="H42" s="5"/>
    </row>
    <row r="43" spans="1:9" ht="78" customHeight="1" x14ac:dyDescent="0.25">
      <c r="A43" s="1545">
        <v>2.1</v>
      </c>
      <c r="B43" s="1546" t="s">
        <v>40</v>
      </c>
      <c r="C43" s="9">
        <v>5</v>
      </c>
      <c r="D43" s="1547" t="s">
        <v>41</v>
      </c>
      <c r="E43" s="1442"/>
      <c r="F43" s="1432">
        <f t="shared" si="0"/>
        <v>0</v>
      </c>
      <c r="G43" s="5"/>
      <c r="H43" s="5"/>
    </row>
    <row r="44" spans="1:9" ht="77.25" customHeight="1" x14ac:dyDescent="0.25">
      <c r="A44" s="1545">
        <v>2.2000000000000002</v>
      </c>
      <c r="B44" s="1546" t="s">
        <v>42</v>
      </c>
      <c r="C44" s="9">
        <v>15</v>
      </c>
      <c r="D44" s="1547" t="s">
        <v>41</v>
      </c>
      <c r="E44" s="1442"/>
      <c r="F44" s="1432">
        <f t="shared" si="0"/>
        <v>0</v>
      </c>
      <c r="G44" s="5"/>
      <c r="H44" s="5"/>
    </row>
    <row r="45" spans="1:9" ht="39" customHeight="1" x14ac:dyDescent="0.25">
      <c r="A45" s="1545">
        <v>2.2999999999999998</v>
      </c>
      <c r="B45" s="1546" t="s">
        <v>43</v>
      </c>
      <c r="C45" s="9">
        <v>5</v>
      </c>
      <c r="D45" s="1547" t="s">
        <v>41</v>
      </c>
      <c r="E45" s="1442"/>
      <c r="F45" s="1432">
        <f t="shared" si="0"/>
        <v>0</v>
      </c>
      <c r="G45" s="5"/>
      <c r="H45" s="5"/>
    </row>
    <row r="46" spans="1:9" ht="39" customHeight="1" x14ac:dyDescent="0.25">
      <c r="A46" s="1545">
        <v>2.4</v>
      </c>
      <c r="B46" s="1546" t="s">
        <v>44</v>
      </c>
      <c r="C46" s="9">
        <v>3</v>
      </c>
      <c r="D46" s="1547" t="s">
        <v>41</v>
      </c>
      <c r="E46" s="1442"/>
      <c r="F46" s="1432">
        <f t="shared" si="0"/>
        <v>0</v>
      </c>
      <c r="G46" s="5"/>
      <c r="H46" s="5"/>
    </row>
    <row r="47" spans="1:9" ht="39" customHeight="1" x14ac:dyDescent="0.25">
      <c r="A47" s="1545">
        <v>2.5</v>
      </c>
      <c r="B47" s="1546" t="s">
        <v>45</v>
      </c>
      <c r="C47" s="9">
        <v>3</v>
      </c>
      <c r="D47" s="1547" t="s">
        <v>41</v>
      </c>
      <c r="E47" s="1442"/>
      <c r="F47" s="1432">
        <f t="shared" si="0"/>
        <v>0</v>
      </c>
      <c r="G47" s="5"/>
      <c r="H47" s="5"/>
    </row>
    <row r="48" spans="1:9" ht="28.5" customHeight="1" x14ac:dyDescent="0.25">
      <c r="A48" s="1545">
        <v>2.6</v>
      </c>
      <c r="B48" s="1524" t="s">
        <v>46</v>
      </c>
      <c r="C48" s="9">
        <v>1</v>
      </c>
      <c r="D48" s="1548" t="s">
        <v>8</v>
      </c>
      <c r="E48" s="1442"/>
      <c r="F48" s="1432">
        <f t="shared" si="0"/>
        <v>0</v>
      </c>
      <c r="G48" s="5"/>
      <c r="H48" s="5"/>
    </row>
    <row r="49" spans="1:11" ht="12.75" customHeight="1" x14ac:dyDescent="0.25">
      <c r="A49" s="1545">
        <v>2.7</v>
      </c>
      <c r="B49" s="1546" t="s">
        <v>47</v>
      </c>
      <c r="C49" s="7">
        <v>1</v>
      </c>
      <c r="D49" s="1544" t="s">
        <v>8</v>
      </c>
      <c r="E49" s="1441"/>
      <c r="F49" s="1432">
        <f t="shared" si="0"/>
        <v>0</v>
      </c>
      <c r="G49" s="5"/>
      <c r="H49" s="5"/>
      <c r="I49" s="6"/>
      <c r="J49" s="6"/>
      <c r="K49" s="6"/>
    </row>
    <row r="50" spans="1:11" ht="12.75" customHeight="1" x14ac:dyDescent="0.25">
      <c r="A50" s="1549">
        <v>2.8</v>
      </c>
      <c r="B50" s="1550" t="s">
        <v>48</v>
      </c>
      <c r="C50" s="10">
        <v>1</v>
      </c>
      <c r="D50" s="1551" t="s">
        <v>8</v>
      </c>
      <c r="E50" s="1443"/>
      <c r="F50" s="1432">
        <f t="shared" si="0"/>
        <v>0</v>
      </c>
      <c r="G50" s="5"/>
      <c r="H50" s="5"/>
    </row>
    <row r="51" spans="1:11" ht="12.75" customHeight="1" x14ac:dyDescent="0.25">
      <c r="A51" s="1538"/>
      <c r="B51" s="1539"/>
      <c r="C51" s="1540"/>
      <c r="D51" s="1541"/>
      <c r="E51" s="1440"/>
      <c r="F51" s="1432">
        <f t="shared" si="0"/>
        <v>0</v>
      </c>
      <c r="G51" s="5"/>
      <c r="H51" s="5"/>
    </row>
    <row r="52" spans="1:11" ht="12.75" customHeight="1" x14ac:dyDescent="0.25">
      <c r="A52" s="1552">
        <v>3</v>
      </c>
      <c r="B52" s="1543" t="s">
        <v>49</v>
      </c>
      <c r="C52" s="7"/>
      <c r="D52" s="1553"/>
      <c r="E52" s="1444"/>
      <c r="F52" s="1432">
        <f t="shared" si="0"/>
        <v>0</v>
      </c>
      <c r="G52" s="5"/>
      <c r="H52" s="5"/>
    </row>
    <row r="53" spans="1:11" ht="38.25" customHeight="1" x14ac:dyDescent="0.25">
      <c r="A53" s="1554">
        <v>3.1</v>
      </c>
      <c r="B53" s="1524" t="s">
        <v>1347</v>
      </c>
      <c r="C53" s="9">
        <v>2</v>
      </c>
      <c r="D53" s="1555" t="s">
        <v>8</v>
      </c>
      <c r="E53" s="1442"/>
      <c r="F53" s="1432">
        <f t="shared" si="0"/>
        <v>0</v>
      </c>
      <c r="G53" s="5"/>
      <c r="H53" s="5"/>
    </row>
    <row r="54" spans="1:11" ht="65.25" customHeight="1" x14ac:dyDescent="0.25">
      <c r="A54" s="1554">
        <v>3.2</v>
      </c>
      <c r="B54" s="1524" t="s">
        <v>50</v>
      </c>
      <c r="C54" s="9">
        <v>1</v>
      </c>
      <c r="D54" s="1555" t="s">
        <v>8</v>
      </c>
      <c r="E54" s="1442"/>
      <c r="F54" s="1432">
        <f t="shared" si="0"/>
        <v>0</v>
      </c>
      <c r="G54" s="5"/>
      <c r="H54" s="5"/>
    </row>
    <row r="55" spans="1:11" ht="12.75" customHeight="1" x14ac:dyDescent="0.25">
      <c r="A55" s="1554">
        <f t="shared" ref="A55:A61" si="2">+A54+0.1</f>
        <v>3.3000000000000003</v>
      </c>
      <c r="B55" s="1524" t="s">
        <v>51</v>
      </c>
      <c r="C55" s="9">
        <v>145</v>
      </c>
      <c r="D55" s="1556" t="s">
        <v>31</v>
      </c>
      <c r="E55" s="1445"/>
      <c r="F55" s="1432">
        <f t="shared" si="0"/>
        <v>0</v>
      </c>
      <c r="G55" s="5"/>
      <c r="H55" s="5"/>
    </row>
    <row r="56" spans="1:11" ht="25.5" customHeight="1" x14ac:dyDescent="0.25">
      <c r="A56" s="1554">
        <f t="shared" si="2"/>
        <v>3.4000000000000004</v>
      </c>
      <c r="B56" s="1524" t="s">
        <v>52</v>
      </c>
      <c r="C56" s="9">
        <v>150</v>
      </c>
      <c r="D56" s="1556" t="s">
        <v>31</v>
      </c>
      <c r="E56" s="1445"/>
      <c r="F56" s="1432">
        <f t="shared" si="0"/>
        <v>0</v>
      </c>
      <c r="G56" s="5"/>
      <c r="H56" s="5"/>
    </row>
    <row r="57" spans="1:11" ht="12.75" customHeight="1" x14ac:dyDescent="0.25">
      <c r="A57" s="1554">
        <f>+A56+0.1</f>
        <v>3.5000000000000004</v>
      </c>
      <c r="B57" s="1524" t="s">
        <v>53</v>
      </c>
      <c r="C57" s="7">
        <v>1</v>
      </c>
      <c r="D57" s="1541" t="s">
        <v>8</v>
      </c>
      <c r="E57" s="1440"/>
      <c r="F57" s="1432">
        <f t="shared" si="0"/>
        <v>0</v>
      </c>
      <c r="G57" s="5"/>
      <c r="H57" s="5"/>
    </row>
    <row r="58" spans="1:11" ht="12.75" customHeight="1" x14ac:dyDescent="0.25">
      <c r="A58" s="1554">
        <f t="shared" si="2"/>
        <v>3.6000000000000005</v>
      </c>
      <c r="B58" s="1524" t="s">
        <v>54</v>
      </c>
      <c r="C58" s="7">
        <v>1</v>
      </c>
      <c r="D58" s="1541" t="s">
        <v>8</v>
      </c>
      <c r="E58" s="1440"/>
      <c r="F58" s="1432">
        <f t="shared" si="0"/>
        <v>0</v>
      </c>
      <c r="G58" s="5"/>
      <c r="H58" s="5"/>
    </row>
    <row r="59" spans="1:11" ht="12.75" customHeight="1" x14ac:dyDescent="0.25">
      <c r="A59" s="1554">
        <f t="shared" si="2"/>
        <v>3.7000000000000006</v>
      </c>
      <c r="B59" s="1524" t="s">
        <v>55</v>
      </c>
      <c r="C59" s="7">
        <v>2</v>
      </c>
      <c r="D59" s="1544" t="s">
        <v>8</v>
      </c>
      <c r="E59" s="1441"/>
      <c r="F59" s="1432">
        <f t="shared" si="0"/>
        <v>0</v>
      </c>
      <c r="G59" s="5"/>
      <c r="H59" s="5"/>
    </row>
    <row r="60" spans="1:11" ht="12.75" customHeight="1" x14ac:dyDescent="0.25">
      <c r="A60" s="1554">
        <f t="shared" si="2"/>
        <v>3.8000000000000007</v>
      </c>
      <c r="B60" s="1524" t="s">
        <v>56</v>
      </c>
      <c r="C60" s="7">
        <v>2</v>
      </c>
      <c r="D60" s="1544" t="s">
        <v>8</v>
      </c>
      <c r="E60" s="1441"/>
      <c r="F60" s="1432">
        <f t="shared" si="0"/>
        <v>0</v>
      </c>
      <c r="G60" s="5"/>
      <c r="H60" s="5"/>
    </row>
    <row r="61" spans="1:11" ht="12.75" customHeight="1" x14ac:dyDescent="0.25">
      <c r="A61" s="1554">
        <f t="shared" si="2"/>
        <v>3.9000000000000008</v>
      </c>
      <c r="B61" s="1524" t="s">
        <v>1331</v>
      </c>
      <c r="C61" s="7">
        <v>1</v>
      </c>
      <c r="D61" s="1544" t="s">
        <v>8</v>
      </c>
      <c r="E61" s="1441"/>
      <c r="F61" s="1432">
        <f t="shared" si="0"/>
        <v>0</v>
      </c>
      <c r="G61" s="5"/>
      <c r="H61" s="5"/>
      <c r="J61" s="6"/>
    </row>
    <row r="62" spans="1:11" ht="25.5" customHeight="1" x14ac:dyDescent="0.25">
      <c r="A62" s="1557">
        <v>3.1</v>
      </c>
      <c r="B62" s="1524" t="s">
        <v>1330</v>
      </c>
      <c r="C62" s="9">
        <v>1</v>
      </c>
      <c r="D62" s="1556" t="s">
        <v>8</v>
      </c>
      <c r="E62" s="1445"/>
      <c r="F62" s="1432">
        <f t="shared" si="0"/>
        <v>0</v>
      </c>
      <c r="G62" s="5"/>
      <c r="H62" s="5"/>
      <c r="J62" s="6"/>
    </row>
    <row r="63" spans="1:11" ht="12.75" customHeight="1" x14ac:dyDescent="0.25">
      <c r="A63" s="1557">
        <v>3.11</v>
      </c>
      <c r="B63" s="1524" t="s">
        <v>57</v>
      </c>
      <c r="C63" s="7">
        <v>1</v>
      </c>
      <c r="D63" s="1541" t="s">
        <v>8</v>
      </c>
      <c r="E63" s="1440"/>
      <c r="F63" s="1432">
        <f t="shared" si="0"/>
        <v>0</v>
      </c>
      <c r="G63" s="5"/>
      <c r="H63" s="5"/>
      <c r="J63" s="6"/>
    </row>
    <row r="64" spans="1:11" ht="12.75" customHeight="1" x14ac:dyDescent="0.25">
      <c r="A64" s="1557">
        <v>3.12</v>
      </c>
      <c r="B64" s="1524" t="s">
        <v>58</v>
      </c>
      <c r="C64" s="9">
        <v>1</v>
      </c>
      <c r="D64" s="1556" t="s">
        <v>8</v>
      </c>
      <c r="E64" s="1445"/>
      <c r="F64" s="1432">
        <f t="shared" si="0"/>
        <v>0</v>
      </c>
      <c r="G64" s="5"/>
      <c r="H64" s="5"/>
    </row>
    <row r="65" spans="1:10" ht="25.5" customHeight="1" x14ac:dyDescent="0.25">
      <c r="A65" s="1557">
        <v>3.13</v>
      </c>
      <c r="B65" s="1524" t="s">
        <v>1329</v>
      </c>
      <c r="C65" s="9">
        <v>1</v>
      </c>
      <c r="D65" s="1556" t="s">
        <v>8</v>
      </c>
      <c r="E65" s="1445"/>
      <c r="F65" s="1432">
        <f t="shared" si="0"/>
        <v>0</v>
      </c>
      <c r="G65" s="5"/>
      <c r="H65" s="5"/>
    </row>
    <row r="66" spans="1:10" ht="25.5" customHeight="1" x14ac:dyDescent="0.25">
      <c r="A66" s="1557">
        <v>3.14</v>
      </c>
      <c r="B66" s="1524" t="s">
        <v>1328</v>
      </c>
      <c r="C66" s="9">
        <v>1</v>
      </c>
      <c r="D66" s="1556" t="s">
        <v>8</v>
      </c>
      <c r="E66" s="1445"/>
      <c r="F66" s="1432">
        <f t="shared" si="0"/>
        <v>0</v>
      </c>
      <c r="G66" s="5"/>
      <c r="H66" s="5"/>
    </row>
    <row r="67" spans="1:10" ht="12.75" customHeight="1" x14ac:dyDescent="0.25">
      <c r="A67" s="1557">
        <v>3.15</v>
      </c>
      <c r="B67" s="1524" t="s">
        <v>1327</v>
      </c>
      <c r="C67" s="7">
        <v>1</v>
      </c>
      <c r="D67" s="1541" t="s">
        <v>8</v>
      </c>
      <c r="E67" s="1440"/>
      <c r="F67" s="1432">
        <f t="shared" si="0"/>
        <v>0</v>
      </c>
      <c r="G67" s="5"/>
      <c r="H67" s="5"/>
    </row>
    <row r="68" spans="1:10" ht="12.75" customHeight="1" x14ac:dyDescent="0.25">
      <c r="A68" s="1557">
        <v>3.16</v>
      </c>
      <c r="B68" s="1524" t="s">
        <v>1325</v>
      </c>
      <c r="C68" s="7">
        <v>1</v>
      </c>
      <c r="D68" s="1541" t="s">
        <v>8</v>
      </c>
      <c r="E68" s="1446"/>
      <c r="F68" s="1432">
        <f t="shared" si="0"/>
        <v>0</v>
      </c>
      <c r="G68" s="5"/>
      <c r="H68" s="5"/>
    </row>
    <row r="69" spans="1:10" ht="12.75" customHeight="1" x14ac:dyDescent="0.25">
      <c r="A69" s="1557">
        <v>3.17</v>
      </c>
      <c r="B69" s="1558" t="s">
        <v>59</v>
      </c>
      <c r="C69" s="7">
        <v>1</v>
      </c>
      <c r="D69" s="1541" t="s">
        <v>8</v>
      </c>
      <c r="E69" s="11"/>
      <c r="F69" s="1432">
        <f t="shared" si="0"/>
        <v>0</v>
      </c>
      <c r="G69" s="5"/>
      <c r="H69" s="5"/>
    </row>
    <row r="70" spans="1:10" ht="12.75" customHeight="1" x14ac:dyDescent="0.25">
      <c r="A70" s="1557">
        <v>3.18</v>
      </c>
      <c r="B70" s="1558" t="s">
        <v>60</v>
      </c>
      <c r="C70" s="7">
        <v>1</v>
      </c>
      <c r="D70" s="1541" t="s">
        <v>8</v>
      </c>
      <c r="E70" s="11"/>
      <c r="F70" s="1432">
        <f t="shared" si="0"/>
        <v>0</v>
      </c>
      <c r="G70" s="5"/>
      <c r="H70" s="5"/>
    </row>
    <row r="71" spans="1:10" ht="12.75" customHeight="1" x14ac:dyDescent="0.25">
      <c r="A71" s="1557">
        <v>3.19</v>
      </c>
      <c r="B71" s="1524" t="s">
        <v>1338</v>
      </c>
      <c r="C71" s="7">
        <v>1</v>
      </c>
      <c r="D71" s="1541" t="s">
        <v>8</v>
      </c>
      <c r="E71" s="1440"/>
      <c r="F71" s="1432">
        <f t="shared" si="0"/>
        <v>0</v>
      </c>
      <c r="G71" s="5"/>
      <c r="H71" s="5"/>
    </row>
    <row r="72" spans="1:10" ht="12.75" customHeight="1" x14ac:dyDescent="0.25">
      <c r="A72" s="1557">
        <v>3.2</v>
      </c>
      <c r="B72" s="1524" t="s">
        <v>62</v>
      </c>
      <c r="C72" s="7">
        <v>2</v>
      </c>
      <c r="D72" s="1541" t="s">
        <v>8</v>
      </c>
      <c r="E72" s="1440"/>
      <c r="F72" s="1432">
        <f t="shared" si="0"/>
        <v>0</v>
      </c>
      <c r="G72" s="5"/>
      <c r="H72" s="5"/>
    </row>
    <row r="73" spans="1:10" ht="12.75" customHeight="1" x14ac:dyDescent="0.25">
      <c r="A73" s="1557">
        <v>3.21</v>
      </c>
      <c r="B73" s="1524" t="s">
        <v>63</v>
      </c>
      <c r="C73" s="7">
        <v>1</v>
      </c>
      <c r="D73" s="1541" t="s">
        <v>8</v>
      </c>
      <c r="E73" s="1440"/>
      <c r="F73" s="1432">
        <f t="shared" si="0"/>
        <v>0</v>
      </c>
      <c r="G73" s="5"/>
      <c r="H73" s="5"/>
    </row>
    <row r="74" spans="1:10" ht="12.75" customHeight="1" x14ac:dyDescent="0.25">
      <c r="A74" s="1557">
        <v>3.22</v>
      </c>
      <c r="B74" s="1524" t="s">
        <v>64</v>
      </c>
      <c r="C74" s="7">
        <v>1</v>
      </c>
      <c r="D74" s="1541" t="s">
        <v>8</v>
      </c>
      <c r="E74" s="1440"/>
      <c r="F74" s="1432">
        <f t="shared" si="0"/>
        <v>0</v>
      </c>
      <c r="G74" s="5"/>
      <c r="H74" s="5"/>
    </row>
    <row r="75" spans="1:10" ht="12.75" customHeight="1" x14ac:dyDescent="0.25">
      <c r="A75" s="1557">
        <v>3.23</v>
      </c>
      <c r="B75" s="1524" t="s">
        <v>65</v>
      </c>
      <c r="C75" s="7">
        <v>1</v>
      </c>
      <c r="D75" s="1541" t="s">
        <v>8</v>
      </c>
      <c r="E75" s="1440"/>
      <c r="F75" s="1432">
        <f t="shared" si="0"/>
        <v>0</v>
      </c>
      <c r="G75" s="5"/>
      <c r="H75" s="5"/>
      <c r="J75" s="6"/>
    </row>
    <row r="76" spans="1:10" ht="5.0999999999999996" customHeight="1" x14ac:dyDescent="0.25">
      <c r="A76" s="1557"/>
      <c r="B76" s="1539"/>
      <c r="C76" s="7"/>
      <c r="D76" s="1541"/>
      <c r="E76" s="1440"/>
      <c r="F76" s="1432">
        <f t="shared" si="0"/>
        <v>0</v>
      </c>
      <c r="G76" s="5"/>
      <c r="H76" s="5"/>
    </row>
    <row r="77" spans="1:10" ht="12.75" customHeight="1" x14ac:dyDescent="0.25">
      <c r="A77" s="1559">
        <v>4</v>
      </c>
      <c r="B77" s="1543" t="s">
        <v>66</v>
      </c>
      <c r="C77" s="7"/>
      <c r="D77" s="1541"/>
      <c r="E77" s="1440"/>
      <c r="F77" s="1432">
        <f t="shared" si="0"/>
        <v>0</v>
      </c>
      <c r="G77" s="5"/>
      <c r="H77" s="5"/>
    </row>
    <row r="78" spans="1:10" ht="13.5" customHeight="1" x14ac:dyDescent="0.25">
      <c r="A78" s="1560">
        <v>4.0999999999999996</v>
      </c>
      <c r="B78" s="1561" t="s">
        <v>114</v>
      </c>
      <c r="C78" s="9"/>
      <c r="D78" s="1556"/>
      <c r="E78" s="1445"/>
      <c r="F78" s="1432">
        <f t="shared" si="0"/>
        <v>0</v>
      </c>
      <c r="G78" s="5"/>
      <c r="H78" s="5"/>
    </row>
    <row r="79" spans="1:10" s="43" customFormat="1" x14ac:dyDescent="0.2">
      <c r="A79" s="41" t="s">
        <v>115</v>
      </c>
      <c r="B79" s="1562" t="s">
        <v>117</v>
      </c>
      <c r="C79" s="1563"/>
      <c r="D79" s="1564"/>
      <c r="E79" s="1447"/>
      <c r="F79" s="1432">
        <f t="shared" si="0"/>
        <v>0</v>
      </c>
      <c r="G79" s="5"/>
    </row>
    <row r="80" spans="1:10" s="43" customFormat="1" ht="14.25" x14ac:dyDescent="0.2">
      <c r="A80" s="44" t="s">
        <v>133</v>
      </c>
      <c r="B80" s="1565" t="s">
        <v>118</v>
      </c>
      <c r="C80" s="1563">
        <v>9.1800000000000015</v>
      </c>
      <c r="D80" s="1564" t="s">
        <v>1339</v>
      </c>
      <c r="E80" s="1447"/>
      <c r="F80" s="1432">
        <f t="shared" si="0"/>
        <v>0</v>
      </c>
      <c r="G80" s="5"/>
    </row>
    <row r="81" spans="1:10" s="43" customFormat="1" ht="14.25" x14ac:dyDescent="0.2">
      <c r="A81" s="44" t="s">
        <v>134</v>
      </c>
      <c r="B81" s="1565" t="s">
        <v>119</v>
      </c>
      <c r="C81" s="1563">
        <v>4.7</v>
      </c>
      <c r="D81" s="1564" t="s">
        <v>1339</v>
      </c>
      <c r="E81" s="1447"/>
      <c r="F81" s="1432">
        <f t="shared" si="0"/>
        <v>0</v>
      </c>
      <c r="G81" s="5"/>
    </row>
    <row r="82" spans="1:10" s="43" customFormat="1" ht="14.25" x14ac:dyDescent="0.2">
      <c r="A82" s="44" t="s">
        <v>135</v>
      </c>
      <c r="B82" s="1565" t="s">
        <v>120</v>
      </c>
      <c r="C82" s="1563">
        <v>5.82</v>
      </c>
      <c r="D82" s="1564" t="s">
        <v>1339</v>
      </c>
      <c r="E82" s="1447"/>
      <c r="F82" s="1432">
        <f t="shared" ref="F82:F145" si="3">+E82*C82</f>
        <v>0</v>
      </c>
      <c r="G82" s="5"/>
    </row>
    <row r="83" spans="1:10" s="43" customFormat="1" x14ac:dyDescent="0.2">
      <c r="A83" s="44"/>
      <c r="B83" s="1565"/>
      <c r="C83" s="1563"/>
      <c r="D83" s="1564"/>
      <c r="E83" s="1447"/>
      <c r="F83" s="1432">
        <f t="shared" si="3"/>
        <v>0</v>
      </c>
      <c r="G83" s="5"/>
    </row>
    <row r="84" spans="1:10" s="43" customFormat="1" x14ac:dyDescent="0.2">
      <c r="A84" s="41" t="s">
        <v>116</v>
      </c>
      <c r="B84" s="1562" t="s">
        <v>121</v>
      </c>
      <c r="C84" s="1563"/>
      <c r="D84" s="1564"/>
      <c r="E84" s="1447"/>
      <c r="F84" s="1432">
        <f t="shared" si="3"/>
        <v>0</v>
      </c>
      <c r="G84" s="5"/>
    </row>
    <row r="85" spans="1:10" s="43" customFormat="1" ht="25.5" x14ac:dyDescent="0.2">
      <c r="A85" s="1404" t="s">
        <v>136</v>
      </c>
      <c r="B85" s="1566" t="s">
        <v>1301</v>
      </c>
      <c r="C85" s="1567">
        <v>1.98</v>
      </c>
      <c r="D85" s="1568" t="s">
        <v>1346</v>
      </c>
      <c r="E85" s="1448"/>
      <c r="F85" s="1432">
        <f t="shared" si="3"/>
        <v>0</v>
      </c>
      <c r="G85" s="5"/>
      <c r="H85" s="48"/>
      <c r="I85" s="1402"/>
      <c r="J85" s="50"/>
    </row>
    <row r="86" spans="1:10" s="43" customFormat="1" ht="25.5" x14ac:dyDescent="0.2">
      <c r="A86" s="1404" t="s">
        <v>137</v>
      </c>
      <c r="B86" s="1566" t="s">
        <v>1302</v>
      </c>
      <c r="C86" s="1567">
        <v>0.72</v>
      </c>
      <c r="D86" s="1568" t="s">
        <v>1346</v>
      </c>
      <c r="E86" s="1448"/>
      <c r="F86" s="1432">
        <f t="shared" si="3"/>
        <v>0</v>
      </c>
      <c r="G86" s="5"/>
      <c r="H86" s="48"/>
      <c r="I86" s="1402"/>
      <c r="J86" s="50"/>
    </row>
    <row r="87" spans="1:10" s="43" customFormat="1" ht="25.5" x14ac:dyDescent="0.2">
      <c r="A87" s="1404" t="s">
        <v>138</v>
      </c>
      <c r="B87" s="1569" t="s">
        <v>1303</v>
      </c>
      <c r="C87" s="1567">
        <v>0.96000000000000019</v>
      </c>
      <c r="D87" s="1568" t="s">
        <v>1346</v>
      </c>
      <c r="E87" s="1448"/>
      <c r="F87" s="1432">
        <f t="shared" si="3"/>
        <v>0</v>
      </c>
      <c r="G87" s="5"/>
      <c r="H87" s="48"/>
      <c r="I87" s="1402"/>
      <c r="J87" s="50"/>
    </row>
    <row r="88" spans="1:10" s="43" customFormat="1" ht="25.5" x14ac:dyDescent="0.2">
      <c r="A88" s="1404" t="s">
        <v>139</v>
      </c>
      <c r="B88" s="1569" t="s">
        <v>1304</v>
      </c>
      <c r="C88" s="1567">
        <v>0.91</v>
      </c>
      <c r="D88" s="1568" t="s">
        <v>1346</v>
      </c>
      <c r="E88" s="1448"/>
      <c r="F88" s="1432">
        <f t="shared" si="3"/>
        <v>0</v>
      </c>
      <c r="G88" s="5"/>
      <c r="H88" s="48"/>
      <c r="I88" s="1401"/>
      <c r="J88" s="50"/>
    </row>
    <row r="89" spans="1:10" s="43" customFormat="1" ht="25.5" x14ac:dyDescent="0.2">
      <c r="A89" s="1404" t="s">
        <v>140</v>
      </c>
      <c r="B89" s="1569" t="s">
        <v>1305</v>
      </c>
      <c r="C89" s="1567">
        <v>1.2800000000000002</v>
      </c>
      <c r="D89" s="1568" t="s">
        <v>1346</v>
      </c>
      <c r="E89" s="1448"/>
      <c r="F89" s="1432">
        <f t="shared" si="3"/>
        <v>0</v>
      </c>
      <c r="G89" s="5"/>
      <c r="H89" s="48"/>
      <c r="I89" s="1401"/>
      <c r="J89" s="50"/>
    </row>
    <row r="90" spans="1:10" s="43" customFormat="1" ht="25.5" x14ac:dyDescent="0.2">
      <c r="A90" s="1404" t="s">
        <v>141</v>
      </c>
      <c r="B90" s="1569" t="s">
        <v>1306</v>
      </c>
      <c r="C90" s="1567">
        <v>0.34</v>
      </c>
      <c r="D90" s="1568" t="s">
        <v>1346</v>
      </c>
      <c r="E90" s="1448"/>
      <c r="F90" s="1432">
        <f t="shared" si="3"/>
        <v>0</v>
      </c>
      <c r="G90" s="5"/>
      <c r="H90" s="48"/>
      <c r="I90" s="1403"/>
      <c r="J90" s="50"/>
    </row>
    <row r="91" spans="1:10" s="43" customFormat="1" x14ac:dyDescent="0.2">
      <c r="A91" s="1404"/>
      <c r="B91" s="1569"/>
      <c r="C91" s="1570"/>
      <c r="D91" s="1571"/>
      <c r="E91" s="1449"/>
      <c r="F91" s="1432">
        <f t="shared" si="3"/>
        <v>0</v>
      </c>
      <c r="G91" s="5"/>
      <c r="I91" s="1403"/>
      <c r="J91" s="50"/>
    </row>
    <row r="92" spans="1:10" s="43" customFormat="1" x14ac:dyDescent="0.2">
      <c r="A92" s="1405" t="s">
        <v>142</v>
      </c>
      <c r="B92" s="1572" t="s">
        <v>122</v>
      </c>
      <c r="C92" s="1570"/>
      <c r="D92" s="1571"/>
      <c r="E92" s="1449"/>
      <c r="F92" s="1432">
        <f t="shared" si="3"/>
        <v>0</v>
      </c>
      <c r="G92" s="5"/>
      <c r="I92" s="1403"/>
      <c r="J92" s="50"/>
    </row>
    <row r="93" spans="1:10" s="43" customFormat="1" ht="14.25" x14ac:dyDescent="0.2">
      <c r="A93" s="1404" t="s">
        <v>143</v>
      </c>
      <c r="B93" s="1569" t="s">
        <v>123</v>
      </c>
      <c r="C93" s="1570">
        <v>12.16</v>
      </c>
      <c r="D93" s="1571" t="s">
        <v>1340</v>
      </c>
      <c r="E93" s="1449"/>
      <c r="F93" s="1432">
        <f t="shared" si="3"/>
        <v>0</v>
      </c>
      <c r="G93" s="5"/>
      <c r="H93" s="48"/>
      <c r="I93" s="1403"/>
      <c r="J93" s="50"/>
    </row>
    <row r="94" spans="1:10" s="43" customFormat="1" ht="14.25" x14ac:dyDescent="0.2">
      <c r="A94" s="1406" t="s">
        <v>144</v>
      </c>
      <c r="B94" s="1573" t="s">
        <v>125</v>
      </c>
      <c r="C94" s="1574">
        <v>72.959999999999994</v>
      </c>
      <c r="D94" s="1575" t="s">
        <v>1340</v>
      </c>
      <c r="E94" s="1450"/>
      <c r="F94" s="1432">
        <f t="shared" si="3"/>
        <v>0</v>
      </c>
      <c r="G94" s="5"/>
      <c r="H94" s="48"/>
    </row>
    <row r="95" spans="1:10" s="43" customFormat="1" x14ac:dyDescent="0.2">
      <c r="A95" s="1404"/>
      <c r="B95" s="1569"/>
      <c r="C95" s="1570"/>
      <c r="D95" s="1571"/>
      <c r="E95" s="1449"/>
      <c r="F95" s="1432">
        <f t="shared" si="3"/>
        <v>0</v>
      </c>
      <c r="G95" s="5"/>
    </row>
    <row r="96" spans="1:10" s="43" customFormat="1" x14ac:dyDescent="0.2">
      <c r="A96" s="1405" t="s">
        <v>145</v>
      </c>
      <c r="B96" s="1572" t="s">
        <v>1299</v>
      </c>
      <c r="C96" s="1570"/>
      <c r="D96" s="1571"/>
      <c r="E96" s="1449"/>
      <c r="F96" s="1432">
        <f t="shared" si="3"/>
        <v>0</v>
      </c>
      <c r="G96" s="5"/>
    </row>
    <row r="97" spans="1:17" s="43" customFormat="1" ht="14.25" x14ac:dyDescent="0.2">
      <c r="A97" s="1404" t="s">
        <v>146</v>
      </c>
      <c r="B97" s="1569" t="s">
        <v>126</v>
      </c>
      <c r="C97" s="1570">
        <v>30.4</v>
      </c>
      <c r="D97" s="1571" t="s">
        <v>1340</v>
      </c>
      <c r="E97" s="1449"/>
      <c r="F97" s="1432">
        <f t="shared" si="3"/>
        <v>0</v>
      </c>
      <c r="G97" s="5"/>
      <c r="H97" s="48"/>
    </row>
    <row r="98" spans="1:17" s="43" customFormat="1" x14ac:dyDescent="0.2">
      <c r="A98" s="1404" t="s">
        <v>147</v>
      </c>
      <c r="B98" s="1569" t="s">
        <v>127</v>
      </c>
      <c r="C98" s="1570">
        <v>172.8</v>
      </c>
      <c r="D98" s="1571" t="s">
        <v>128</v>
      </c>
      <c r="E98" s="1449"/>
      <c r="F98" s="1432">
        <f t="shared" si="3"/>
        <v>0</v>
      </c>
      <c r="G98" s="5"/>
      <c r="H98" s="48"/>
    </row>
    <row r="99" spans="1:17" s="43" customFormat="1" x14ac:dyDescent="0.2">
      <c r="A99" s="1405"/>
      <c r="B99" s="1572"/>
      <c r="C99" s="1570"/>
      <c r="D99" s="1571"/>
      <c r="E99" s="1449"/>
      <c r="F99" s="1432">
        <f t="shared" si="3"/>
        <v>0</v>
      </c>
      <c r="G99" s="5"/>
    </row>
    <row r="100" spans="1:17" s="43" customFormat="1" x14ac:dyDescent="0.2">
      <c r="A100" s="1405" t="s">
        <v>148</v>
      </c>
      <c r="B100" s="1572" t="s">
        <v>129</v>
      </c>
      <c r="C100" s="1570"/>
      <c r="D100" s="1571"/>
      <c r="E100" s="1449"/>
      <c r="F100" s="1432">
        <f t="shared" si="3"/>
        <v>0</v>
      </c>
      <c r="G100" s="5"/>
    </row>
    <row r="101" spans="1:17" s="47" customFormat="1" ht="15" x14ac:dyDescent="0.2">
      <c r="A101" s="1404" t="s">
        <v>149</v>
      </c>
      <c r="B101" s="1576" t="s">
        <v>1348</v>
      </c>
      <c r="C101" s="1570">
        <v>30.4</v>
      </c>
      <c r="D101" s="1571" t="s">
        <v>1340</v>
      </c>
      <c r="E101" s="46"/>
      <c r="F101" s="1432">
        <f t="shared" si="3"/>
        <v>0</v>
      </c>
      <c r="G101" s="5"/>
      <c r="H101" s="42"/>
    </row>
    <row r="102" spans="1:17" s="43" customFormat="1" ht="25.5" x14ac:dyDescent="0.2">
      <c r="A102" s="1404" t="s">
        <v>150</v>
      </c>
      <c r="B102" s="1569" t="s">
        <v>1349</v>
      </c>
      <c r="C102" s="1577">
        <v>30.4</v>
      </c>
      <c r="D102" s="1578" t="s">
        <v>1340</v>
      </c>
      <c r="E102" s="1409"/>
      <c r="F102" s="1432">
        <f t="shared" si="3"/>
        <v>0</v>
      </c>
      <c r="G102" s="5"/>
      <c r="H102" s="42"/>
      <c r="I102" s="47"/>
    </row>
    <row r="103" spans="1:17" s="43" customFormat="1" x14ac:dyDescent="0.2">
      <c r="A103" s="1404"/>
      <c r="B103" s="1569"/>
      <c r="C103" s="1570"/>
      <c r="D103" s="1571"/>
      <c r="E103" s="1449"/>
      <c r="F103" s="1432">
        <f t="shared" si="3"/>
        <v>0</v>
      </c>
      <c r="G103" s="5"/>
    </row>
    <row r="104" spans="1:17" s="43" customFormat="1" ht="25.5" x14ac:dyDescent="0.2">
      <c r="A104" s="41" t="s">
        <v>151</v>
      </c>
      <c r="B104" s="1562" t="s">
        <v>130</v>
      </c>
      <c r="C104" s="1579">
        <v>32</v>
      </c>
      <c r="D104" s="1580" t="s">
        <v>128</v>
      </c>
      <c r="E104" s="1451"/>
      <c r="F104" s="1432">
        <f t="shared" si="3"/>
        <v>0</v>
      </c>
      <c r="G104" s="5"/>
      <c r="I104" s="48"/>
      <c r="J104" s="1412"/>
    </row>
    <row r="105" spans="1:17" s="50" customFormat="1" x14ac:dyDescent="0.2">
      <c r="A105" s="49"/>
      <c r="B105" s="1581"/>
      <c r="C105" s="1582"/>
      <c r="D105" s="1583"/>
      <c r="E105" s="1452"/>
      <c r="F105" s="1432">
        <f t="shared" si="3"/>
        <v>0</v>
      </c>
      <c r="G105" s="5"/>
    </row>
    <row r="106" spans="1:17" s="43" customFormat="1" x14ac:dyDescent="0.2">
      <c r="A106" s="41" t="s">
        <v>152</v>
      </c>
      <c r="B106" s="1565" t="s">
        <v>131</v>
      </c>
      <c r="C106" s="7">
        <v>1</v>
      </c>
      <c r="D106" s="1584" t="s">
        <v>132</v>
      </c>
      <c r="E106" s="1453"/>
      <c r="F106" s="1432">
        <f t="shared" si="3"/>
        <v>0</v>
      </c>
      <c r="G106" s="5"/>
    </row>
    <row r="107" spans="1:17" s="43" customFormat="1" x14ac:dyDescent="0.2">
      <c r="A107" s="45"/>
      <c r="B107" s="1565"/>
      <c r="C107" s="7"/>
      <c r="D107" s="1584"/>
      <c r="E107" s="1453"/>
      <c r="F107" s="1432">
        <f t="shared" si="3"/>
        <v>0</v>
      </c>
      <c r="G107" s="5"/>
    </row>
    <row r="108" spans="1:17" ht="12.75" customHeight="1" x14ac:dyDescent="0.25">
      <c r="A108" s="51">
        <v>4.2</v>
      </c>
      <c r="B108" s="1585" t="s">
        <v>153</v>
      </c>
      <c r="C108" s="9"/>
      <c r="D108" s="1556"/>
      <c r="E108" s="1445"/>
      <c r="F108" s="1432">
        <f t="shared" si="3"/>
        <v>0</v>
      </c>
      <c r="G108" s="5"/>
      <c r="H108" s="5"/>
      <c r="J108" s="5"/>
      <c r="K108" s="5"/>
    </row>
    <row r="109" spans="1:17" ht="12.75" customHeight="1" x14ac:dyDescent="0.25">
      <c r="A109" s="51"/>
      <c r="B109" s="1585"/>
      <c r="C109" s="9"/>
      <c r="D109" s="1556"/>
      <c r="E109" s="1445"/>
      <c r="F109" s="1432">
        <f t="shared" si="3"/>
        <v>0</v>
      </c>
      <c r="G109" s="5"/>
      <c r="H109" s="5"/>
      <c r="J109" s="5"/>
      <c r="K109" s="5"/>
    </row>
    <row r="110" spans="1:17" s="56" customFormat="1" x14ac:dyDescent="0.2">
      <c r="A110" s="1586" t="s">
        <v>188</v>
      </c>
      <c r="B110" s="1587" t="s">
        <v>154</v>
      </c>
      <c r="C110" s="1588">
        <v>1</v>
      </c>
      <c r="D110" s="1589" t="s">
        <v>155</v>
      </c>
      <c r="E110" s="1454"/>
      <c r="F110" s="1432">
        <f t="shared" si="3"/>
        <v>0</v>
      </c>
      <c r="G110" s="52"/>
      <c r="H110" s="63"/>
      <c r="I110" s="53"/>
      <c r="J110" s="54"/>
      <c r="K110" s="53"/>
      <c r="L110" s="53"/>
      <c r="M110" s="53"/>
      <c r="N110" s="55"/>
      <c r="O110" s="55"/>
      <c r="P110" s="55"/>
      <c r="Q110" s="55"/>
    </row>
    <row r="111" spans="1:17" s="56" customFormat="1" x14ac:dyDescent="0.2">
      <c r="A111" s="1590"/>
      <c r="B111" s="1587"/>
      <c r="C111" s="1588"/>
      <c r="D111" s="1589"/>
      <c r="E111" s="1455"/>
      <c r="F111" s="1432">
        <f t="shared" si="3"/>
        <v>0</v>
      </c>
      <c r="G111" s="52"/>
      <c r="H111" s="63"/>
      <c r="I111" s="53"/>
      <c r="J111" s="54"/>
      <c r="K111" s="53"/>
      <c r="L111" s="53"/>
      <c r="M111" s="53"/>
      <c r="N111" s="55"/>
      <c r="O111" s="55"/>
      <c r="P111" s="55"/>
      <c r="Q111" s="55"/>
    </row>
    <row r="112" spans="1:17" s="56" customFormat="1" ht="38.25" x14ac:dyDescent="0.2">
      <c r="A112" s="1586" t="s">
        <v>189</v>
      </c>
      <c r="B112" s="1591" t="s">
        <v>1342</v>
      </c>
      <c r="C112" s="1592">
        <v>1</v>
      </c>
      <c r="D112" s="1593" t="s">
        <v>132</v>
      </c>
      <c r="E112" s="1456"/>
      <c r="F112" s="1432">
        <f t="shared" si="3"/>
        <v>0</v>
      </c>
      <c r="G112" s="52"/>
      <c r="H112" s="63"/>
      <c r="I112" s="53"/>
      <c r="J112" s="54"/>
      <c r="K112" s="53"/>
      <c r="L112" s="53"/>
      <c r="M112" s="53"/>
      <c r="N112" s="55"/>
      <c r="O112" s="55"/>
      <c r="P112" s="55"/>
      <c r="Q112" s="55"/>
    </row>
    <row r="113" spans="1:17" s="56" customFormat="1" x14ac:dyDescent="0.2">
      <c r="A113" s="1594"/>
      <c r="B113" s="1587"/>
      <c r="C113" s="1588"/>
      <c r="D113" s="1589"/>
      <c r="E113" s="1455"/>
      <c r="F113" s="1432">
        <f t="shared" si="3"/>
        <v>0</v>
      </c>
      <c r="G113" s="52"/>
      <c r="H113" s="63"/>
      <c r="I113" s="53"/>
      <c r="J113" s="54"/>
      <c r="K113" s="53"/>
      <c r="L113" s="53"/>
      <c r="M113" s="53"/>
      <c r="N113" s="55"/>
      <c r="O113" s="55"/>
      <c r="P113" s="55"/>
      <c r="Q113" s="55"/>
    </row>
    <row r="114" spans="1:17" s="56" customFormat="1" x14ac:dyDescent="0.2">
      <c r="A114" s="1590" t="s">
        <v>191</v>
      </c>
      <c r="B114" s="1595" t="s">
        <v>1298</v>
      </c>
      <c r="C114" s="1588"/>
      <c r="D114" s="1589"/>
      <c r="E114" s="1455"/>
      <c r="F114" s="1432">
        <f t="shared" si="3"/>
        <v>0</v>
      </c>
      <c r="G114" s="52"/>
      <c r="H114" s="63"/>
      <c r="I114" s="53"/>
      <c r="J114" s="54"/>
      <c r="K114" s="53"/>
      <c r="L114" s="53"/>
      <c r="M114" s="53"/>
      <c r="N114" s="55"/>
      <c r="O114" s="55"/>
      <c r="P114" s="55"/>
      <c r="Q114" s="55"/>
    </row>
    <row r="115" spans="1:17" s="56" customFormat="1" ht="14.25" x14ac:dyDescent="0.2">
      <c r="A115" s="1596" t="s">
        <v>192</v>
      </c>
      <c r="B115" s="1597" t="s">
        <v>156</v>
      </c>
      <c r="C115" s="1598">
        <v>1.45</v>
      </c>
      <c r="D115" s="1568" t="s">
        <v>1346</v>
      </c>
      <c r="E115" s="1457"/>
      <c r="F115" s="1432">
        <f t="shared" si="3"/>
        <v>0</v>
      </c>
      <c r="G115" s="52"/>
      <c r="H115" s="63"/>
      <c r="I115" s="53"/>
      <c r="J115" s="54"/>
      <c r="K115" s="53"/>
      <c r="L115" s="53"/>
      <c r="M115" s="53"/>
      <c r="N115" s="55"/>
      <c r="O115" s="55"/>
      <c r="P115" s="55"/>
      <c r="Q115" s="55"/>
    </row>
    <row r="116" spans="1:17" s="56" customFormat="1" ht="25.5" x14ac:dyDescent="0.2">
      <c r="A116" s="1596" t="s">
        <v>193</v>
      </c>
      <c r="B116" s="1591" t="s">
        <v>157</v>
      </c>
      <c r="C116" s="1592">
        <v>0.32</v>
      </c>
      <c r="D116" s="1571" t="s">
        <v>1339</v>
      </c>
      <c r="E116" s="1456"/>
      <c r="F116" s="1432">
        <f t="shared" si="3"/>
        <v>0</v>
      </c>
      <c r="G116" s="52"/>
      <c r="H116" s="63"/>
      <c r="I116" s="53"/>
      <c r="J116" s="54"/>
      <c r="K116" s="53"/>
      <c r="L116" s="53"/>
      <c r="M116" s="53"/>
      <c r="N116" s="55"/>
      <c r="O116" s="55"/>
      <c r="P116" s="55"/>
      <c r="Q116" s="55"/>
    </row>
    <row r="117" spans="1:17" s="56" customFormat="1" ht="25.5" x14ac:dyDescent="0.2">
      <c r="A117" s="1596" t="s">
        <v>194</v>
      </c>
      <c r="B117" s="1591" t="s">
        <v>158</v>
      </c>
      <c r="C117" s="1592">
        <v>0.18</v>
      </c>
      <c r="D117" s="1571" t="s">
        <v>1339</v>
      </c>
      <c r="E117" s="1456"/>
      <c r="F117" s="1432">
        <f t="shared" si="3"/>
        <v>0</v>
      </c>
      <c r="G117" s="52"/>
      <c r="H117" s="63"/>
      <c r="I117" s="53"/>
      <c r="J117" s="54"/>
      <c r="K117" s="53"/>
      <c r="L117" s="53"/>
      <c r="M117" s="53"/>
      <c r="N117" s="55"/>
      <c r="O117" s="55"/>
      <c r="P117" s="55"/>
      <c r="Q117" s="55"/>
    </row>
    <row r="118" spans="1:17" s="60" customFormat="1" ht="14.25" x14ac:dyDescent="0.2">
      <c r="A118" s="1596" t="s">
        <v>195</v>
      </c>
      <c r="B118" s="1599" t="s">
        <v>159</v>
      </c>
      <c r="C118" s="1592">
        <v>0.11</v>
      </c>
      <c r="D118" s="1571" t="s">
        <v>1339</v>
      </c>
      <c r="E118" s="1456"/>
      <c r="F118" s="1432">
        <f t="shared" si="3"/>
        <v>0</v>
      </c>
      <c r="G118" s="52"/>
      <c r="H118" s="64"/>
      <c r="I118" s="57"/>
      <c r="J118" s="58"/>
      <c r="K118" s="57"/>
      <c r="L118" s="57"/>
      <c r="M118" s="57"/>
      <c r="N118" s="59"/>
      <c r="O118" s="59"/>
      <c r="P118" s="59"/>
      <c r="Q118" s="59"/>
    </row>
    <row r="119" spans="1:17" s="60" customFormat="1" ht="14.25" x14ac:dyDescent="0.2">
      <c r="A119" s="1596" t="s">
        <v>196</v>
      </c>
      <c r="B119" s="1599" t="s">
        <v>160</v>
      </c>
      <c r="C119" s="1592">
        <v>0.06</v>
      </c>
      <c r="D119" s="1571" t="s">
        <v>1339</v>
      </c>
      <c r="E119" s="1456"/>
      <c r="F119" s="1432">
        <f t="shared" si="3"/>
        <v>0</v>
      </c>
      <c r="G119" s="52"/>
      <c r="H119" s="64"/>
      <c r="I119" s="57"/>
      <c r="J119" s="58"/>
      <c r="K119" s="57"/>
      <c r="L119" s="57"/>
      <c r="M119" s="57"/>
      <c r="N119" s="59"/>
      <c r="O119" s="59"/>
      <c r="P119" s="59"/>
      <c r="Q119" s="59"/>
    </row>
    <row r="120" spans="1:17" s="54" customFormat="1" ht="14.25" x14ac:dyDescent="0.2">
      <c r="A120" s="1596" t="s">
        <v>197</v>
      </c>
      <c r="B120" s="1591" t="s">
        <v>161</v>
      </c>
      <c r="C120" s="1598">
        <v>0.12</v>
      </c>
      <c r="D120" s="1571" t="s">
        <v>1339</v>
      </c>
      <c r="E120" s="1457"/>
      <c r="F120" s="1432">
        <f t="shared" si="3"/>
        <v>0</v>
      </c>
      <c r="G120" s="52"/>
      <c r="H120" s="63"/>
      <c r="I120" s="53"/>
      <c r="K120" s="53"/>
      <c r="L120" s="53"/>
      <c r="M120" s="53"/>
      <c r="N120" s="53"/>
      <c r="O120" s="53"/>
      <c r="P120" s="53"/>
      <c r="Q120" s="53"/>
    </row>
    <row r="121" spans="1:17" s="56" customFormat="1" ht="14.25" x14ac:dyDescent="0.2">
      <c r="A121" s="1596" t="s">
        <v>198</v>
      </c>
      <c r="B121" s="1597" t="s">
        <v>162</v>
      </c>
      <c r="C121" s="1598">
        <v>0.88</v>
      </c>
      <c r="D121" s="1571" t="s">
        <v>1339</v>
      </c>
      <c r="E121" s="1457"/>
      <c r="F121" s="1432">
        <f t="shared" si="3"/>
        <v>0</v>
      </c>
      <c r="G121" s="52"/>
      <c r="H121" s="63"/>
      <c r="I121" s="53"/>
      <c r="J121" s="54"/>
      <c r="K121" s="53"/>
      <c r="L121" s="53"/>
      <c r="M121" s="53"/>
      <c r="N121" s="55"/>
      <c r="O121" s="55"/>
      <c r="P121" s="55"/>
      <c r="Q121" s="55"/>
    </row>
    <row r="122" spans="1:17" s="56" customFormat="1" x14ac:dyDescent="0.2">
      <c r="A122" s="1594"/>
      <c r="B122" s="1597"/>
      <c r="C122" s="1598"/>
      <c r="D122" s="1600"/>
      <c r="E122" s="1457"/>
      <c r="F122" s="1432">
        <f t="shared" si="3"/>
        <v>0</v>
      </c>
      <c r="G122" s="52"/>
      <c r="H122" s="63"/>
      <c r="I122" s="53"/>
      <c r="J122" s="54"/>
      <c r="K122" s="53"/>
      <c r="L122" s="53"/>
      <c r="M122" s="53"/>
      <c r="N122" s="55"/>
      <c r="O122" s="55"/>
      <c r="P122" s="55"/>
      <c r="Q122" s="55"/>
    </row>
    <row r="123" spans="1:17" s="56" customFormat="1" x14ac:dyDescent="0.2">
      <c r="A123" s="1590" t="s">
        <v>199</v>
      </c>
      <c r="B123" s="1601" t="s">
        <v>163</v>
      </c>
      <c r="C123" s="1598"/>
      <c r="D123" s="1600"/>
      <c r="E123" s="1458"/>
      <c r="F123" s="1432">
        <f t="shared" si="3"/>
        <v>0</v>
      </c>
      <c r="G123" s="52"/>
      <c r="H123" s="63"/>
      <c r="I123" s="53"/>
      <c r="J123" s="54"/>
      <c r="K123" s="53"/>
      <c r="L123" s="53"/>
      <c r="M123" s="53"/>
      <c r="N123" s="55"/>
      <c r="O123" s="55"/>
      <c r="P123" s="55"/>
      <c r="Q123" s="55"/>
    </row>
    <row r="124" spans="1:17" s="56" customFormat="1" ht="14.25" x14ac:dyDescent="0.2">
      <c r="A124" s="1596" t="s">
        <v>200</v>
      </c>
      <c r="B124" s="1597" t="s">
        <v>164</v>
      </c>
      <c r="C124" s="1598">
        <v>4.82</v>
      </c>
      <c r="D124" s="1571" t="s">
        <v>1340</v>
      </c>
      <c r="E124" s="1457"/>
      <c r="F124" s="1432">
        <f t="shared" si="3"/>
        <v>0</v>
      </c>
      <c r="G124" s="52"/>
      <c r="H124" s="63"/>
      <c r="I124" s="53"/>
      <c r="J124" s="54"/>
      <c r="K124" s="53"/>
      <c r="L124" s="53"/>
      <c r="M124" s="53"/>
      <c r="N124" s="55"/>
      <c r="O124" s="55"/>
      <c r="P124" s="55"/>
      <c r="Q124" s="55"/>
    </row>
    <row r="125" spans="1:17" s="56" customFormat="1" ht="14.25" x14ac:dyDescent="0.2">
      <c r="A125" s="1596" t="s">
        <v>201</v>
      </c>
      <c r="B125" s="1597" t="s">
        <v>165</v>
      </c>
      <c r="C125" s="1598">
        <v>22.69</v>
      </c>
      <c r="D125" s="1571" t="s">
        <v>1340</v>
      </c>
      <c r="E125" s="1457"/>
      <c r="F125" s="1432">
        <f t="shared" si="3"/>
        <v>0</v>
      </c>
      <c r="G125" s="52"/>
      <c r="H125" s="63"/>
      <c r="I125" s="53"/>
      <c r="J125" s="54"/>
      <c r="K125" s="53"/>
      <c r="L125" s="53"/>
      <c r="M125" s="53"/>
      <c r="N125" s="55"/>
      <c r="O125" s="55"/>
      <c r="P125" s="55"/>
      <c r="Q125" s="55"/>
    </row>
    <row r="126" spans="1:17" s="56" customFormat="1" ht="14.25" x14ac:dyDescent="0.2">
      <c r="A126" s="1596" t="s">
        <v>202</v>
      </c>
      <c r="B126" s="1597" t="s">
        <v>166</v>
      </c>
      <c r="C126" s="1598">
        <v>1.6199999999999999</v>
      </c>
      <c r="D126" s="1571" t="s">
        <v>1340</v>
      </c>
      <c r="E126" s="1457"/>
      <c r="F126" s="1432">
        <f t="shared" si="3"/>
        <v>0</v>
      </c>
      <c r="G126" s="52"/>
      <c r="H126" s="63"/>
      <c r="I126" s="53"/>
      <c r="J126" s="54"/>
      <c r="K126" s="53"/>
      <c r="L126" s="53"/>
      <c r="M126" s="53"/>
      <c r="N126" s="55"/>
      <c r="O126" s="55"/>
      <c r="P126" s="55"/>
      <c r="Q126" s="55"/>
    </row>
    <row r="127" spans="1:17" s="56" customFormat="1" x14ac:dyDescent="0.2">
      <c r="A127" s="1596"/>
      <c r="B127" s="1587"/>
      <c r="C127" s="1588"/>
      <c r="D127" s="1589"/>
      <c r="E127" s="1454"/>
      <c r="F127" s="1432">
        <f t="shared" si="3"/>
        <v>0</v>
      </c>
      <c r="G127" s="52"/>
      <c r="H127" s="63"/>
      <c r="I127" s="53"/>
      <c r="J127" s="54"/>
      <c r="K127" s="53"/>
      <c r="L127" s="53"/>
      <c r="M127" s="53"/>
      <c r="N127" s="55"/>
      <c r="O127" s="55"/>
      <c r="P127" s="55"/>
      <c r="Q127" s="55"/>
    </row>
    <row r="128" spans="1:17" s="56" customFormat="1" x14ac:dyDescent="0.2">
      <c r="A128" s="1590" t="s">
        <v>203</v>
      </c>
      <c r="B128" s="1595" t="s">
        <v>1299</v>
      </c>
      <c r="C128" s="1588"/>
      <c r="D128" s="1589"/>
      <c r="E128" s="1455"/>
      <c r="F128" s="1432">
        <f t="shared" si="3"/>
        <v>0</v>
      </c>
      <c r="G128" s="52"/>
      <c r="H128" s="63"/>
      <c r="I128" s="53"/>
      <c r="J128" s="54"/>
      <c r="K128" s="53"/>
      <c r="L128" s="53"/>
      <c r="M128" s="53"/>
      <c r="N128" s="55"/>
      <c r="O128" s="55"/>
      <c r="P128" s="55"/>
      <c r="Q128" s="55"/>
    </row>
    <row r="129" spans="1:17" s="56" customFormat="1" ht="14.25" x14ac:dyDescent="0.2">
      <c r="A129" s="1596" t="s">
        <v>204</v>
      </c>
      <c r="B129" s="1597" t="s">
        <v>167</v>
      </c>
      <c r="C129" s="1598">
        <v>26.04</v>
      </c>
      <c r="D129" s="1571" t="s">
        <v>1340</v>
      </c>
      <c r="E129" s="1457"/>
      <c r="F129" s="1432">
        <f t="shared" si="3"/>
        <v>0</v>
      </c>
      <c r="G129" s="52"/>
      <c r="H129" s="63"/>
      <c r="I129" s="53"/>
      <c r="J129" s="54"/>
      <c r="K129" s="53"/>
      <c r="L129" s="53"/>
      <c r="M129" s="53"/>
      <c r="N129" s="55"/>
      <c r="O129" s="55"/>
      <c r="P129" s="55"/>
      <c r="Q129" s="55"/>
    </row>
    <row r="130" spans="1:17" s="56" customFormat="1" ht="14.25" x14ac:dyDescent="0.2">
      <c r="A130" s="1596" t="s">
        <v>205</v>
      </c>
      <c r="B130" s="1597" t="s">
        <v>168</v>
      </c>
      <c r="C130" s="1598">
        <v>18.97</v>
      </c>
      <c r="D130" s="1571" t="s">
        <v>1340</v>
      </c>
      <c r="E130" s="1457"/>
      <c r="F130" s="1432">
        <f t="shared" si="3"/>
        <v>0</v>
      </c>
      <c r="G130" s="52"/>
      <c r="H130" s="63"/>
      <c r="I130" s="53"/>
      <c r="J130" s="54"/>
      <c r="K130" s="53"/>
      <c r="L130" s="53"/>
      <c r="M130" s="53"/>
      <c r="N130" s="55"/>
      <c r="O130" s="55"/>
      <c r="P130" s="55"/>
      <c r="Q130" s="55"/>
    </row>
    <row r="131" spans="1:17" s="56" customFormat="1" ht="14.25" x14ac:dyDescent="0.2">
      <c r="A131" s="1596" t="s">
        <v>206</v>
      </c>
      <c r="B131" s="1597" t="s">
        <v>169</v>
      </c>
      <c r="C131" s="1598">
        <v>7.42</v>
      </c>
      <c r="D131" s="1571" t="s">
        <v>1340</v>
      </c>
      <c r="E131" s="1457"/>
      <c r="F131" s="1432">
        <f t="shared" si="3"/>
        <v>0</v>
      </c>
      <c r="G131" s="52"/>
      <c r="H131" s="63"/>
      <c r="I131" s="53"/>
      <c r="J131" s="54"/>
      <c r="K131" s="53"/>
      <c r="L131" s="53"/>
      <c r="M131" s="53"/>
      <c r="N131" s="55"/>
      <c r="O131" s="55"/>
      <c r="P131" s="55"/>
      <c r="Q131" s="55"/>
    </row>
    <row r="132" spans="1:17" s="56" customFormat="1" ht="25.5" x14ac:dyDescent="0.2">
      <c r="A132" s="1596" t="s">
        <v>207</v>
      </c>
      <c r="B132" s="1576" t="s">
        <v>1360</v>
      </c>
      <c r="C132" s="1602">
        <v>46.64</v>
      </c>
      <c r="D132" s="1578" t="s">
        <v>1340</v>
      </c>
      <c r="E132" s="1459"/>
      <c r="F132" s="1432">
        <f t="shared" si="3"/>
        <v>0</v>
      </c>
      <c r="G132" s="52"/>
      <c r="H132" s="63"/>
      <c r="I132" s="53"/>
      <c r="J132" s="54"/>
      <c r="K132" s="53"/>
      <c r="L132" s="53"/>
      <c r="M132" s="53"/>
      <c r="N132" s="55"/>
      <c r="O132" s="55"/>
      <c r="P132" s="55"/>
      <c r="Q132" s="55"/>
    </row>
    <row r="133" spans="1:17" s="56" customFormat="1" ht="26.25" x14ac:dyDescent="0.25">
      <c r="A133" s="1596" t="s">
        <v>208</v>
      </c>
      <c r="B133" s="1569" t="s">
        <v>1361</v>
      </c>
      <c r="C133" s="1598">
        <v>47.64</v>
      </c>
      <c r="D133" s="1571" t="s">
        <v>1358</v>
      </c>
      <c r="E133" s="1457"/>
      <c r="F133" s="1432">
        <f t="shared" si="3"/>
        <v>0</v>
      </c>
      <c r="G133" s="52"/>
      <c r="H133" s="63"/>
      <c r="I133" s="53"/>
      <c r="J133" s="54"/>
      <c r="K133" s="53"/>
      <c r="L133" s="53"/>
      <c r="M133" s="53"/>
      <c r="N133" s="55"/>
      <c r="O133" s="55"/>
      <c r="P133" s="55"/>
      <c r="Q133" s="55"/>
    </row>
    <row r="134" spans="1:17" s="56" customFormat="1" x14ac:dyDescent="0.2">
      <c r="A134" s="1596" t="s">
        <v>209</v>
      </c>
      <c r="B134" s="1597" t="s">
        <v>127</v>
      </c>
      <c r="C134" s="1598">
        <v>35.6</v>
      </c>
      <c r="D134" s="1600" t="s">
        <v>41</v>
      </c>
      <c r="E134" s="1457"/>
      <c r="F134" s="1432">
        <f t="shared" si="3"/>
        <v>0</v>
      </c>
      <c r="G134" s="52"/>
      <c r="H134" s="63"/>
      <c r="I134" s="53"/>
      <c r="J134" s="54"/>
      <c r="K134" s="53"/>
      <c r="L134" s="53"/>
      <c r="M134" s="53"/>
      <c r="N134" s="55"/>
      <c r="O134" s="55"/>
      <c r="P134" s="55"/>
      <c r="Q134" s="55"/>
    </row>
    <row r="135" spans="1:17" s="56" customFormat="1" x14ac:dyDescent="0.2">
      <c r="A135" s="1596" t="s">
        <v>1309</v>
      </c>
      <c r="B135" s="1597" t="s">
        <v>170</v>
      </c>
      <c r="C135" s="1598">
        <v>2.02</v>
      </c>
      <c r="D135" s="1600" t="s">
        <v>41</v>
      </c>
      <c r="E135" s="1457"/>
      <c r="F135" s="1432">
        <f t="shared" si="3"/>
        <v>0</v>
      </c>
      <c r="G135" s="52"/>
      <c r="H135" s="63"/>
      <c r="I135" s="53"/>
      <c r="J135" s="54"/>
      <c r="K135" s="53"/>
      <c r="L135" s="53"/>
      <c r="M135" s="53"/>
      <c r="N135" s="55"/>
      <c r="O135" s="55"/>
      <c r="P135" s="55"/>
      <c r="Q135" s="55"/>
    </row>
    <row r="136" spans="1:17" s="56" customFormat="1" x14ac:dyDescent="0.2">
      <c r="A136" s="1596" t="s">
        <v>1359</v>
      </c>
      <c r="B136" s="1597" t="s">
        <v>1357</v>
      </c>
      <c r="C136" s="1598">
        <v>10.1</v>
      </c>
      <c r="D136" s="1600" t="s">
        <v>41</v>
      </c>
      <c r="E136" s="1457"/>
      <c r="F136" s="1432">
        <f t="shared" si="3"/>
        <v>0</v>
      </c>
      <c r="G136" s="52"/>
      <c r="H136" s="63"/>
      <c r="I136" s="53"/>
      <c r="J136" s="54"/>
      <c r="K136" s="53"/>
      <c r="L136" s="53"/>
      <c r="M136" s="53"/>
      <c r="N136" s="55"/>
      <c r="O136" s="55"/>
      <c r="P136" s="55"/>
      <c r="Q136" s="55"/>
    </row>
    <row r="137" spans="1:17" s="56" customFormat="1" x14ac:dyDescent="0.2">
      <c r="A137" s="1596"/>
      <c r="B137" s="1597"/>
      <c r="C137" s="1598"/>
      <c r="D137" s="1600"/>
      <c r="E137" s="1458"/>
      <c r="F137" s="1432">
        <f t="shared" si="3"/>
        <v>0</v>
      </c>
      <c r="G137" s="52"/>
      <c r="H137" s="63"/>
      <c r="I137" s="53"/>
      <c r="J137" s="54"/>
      <c r="K137" s="53"/>
      <c r="L137" s="53"/>
      <c r="M137" s="53"/>
      <c r="N137" s="55"/>
      <c r="O137" s="55"/>
      <c r="P137" s="55"/>
      <c r="Q137" s="55"/>
    </row>
    <row r="138" spans="1:17" s="56" customFormat="1" ht="38.25" x14ac:dyDescent="0.2">
      <c r="A138" s="1596" t="s">
        <v>210</v>
      </c>
      <c r="B138" s="1591" t="s">
        <v>1350</v>
      </c>
      <c r="C138" s="1598">
        <v>6</v>
      </c>
      <c r="D138" s="1571" t="s">
        <v>1340</v>
      </c>
      <c r="E138" s="1457"/>
      <c r="F138" s="1432">
        <f t="shared" si="3"/>
        <v>0</v>
      </c>
      <c r="G138" s="52"/>
      <c r="H138" s="63"/>
      <c r="I138" s="53"/>
      <c r="J138" s="54"/>
      <c r="K138" s="53"/>
      <c r="L138" s="53"/>
      <c r="M138" s="53"/>
      <c r="N138" s="55"/>
      <c r="O138" s="55"/>
      <c r="P138" s="55"/>
      <c r="Q138" s="55"/>
    </row>
    <row r="139" spans="1:17" s="56" customFormat="1" x14ac:dyDescent="0.2">
      <c r="A139" s="1596"/>
      <c r="B139" s="1597"/>
      <c r="C139" s="1598"/>
      <c r="D139" s="1571"/>
      <c r="E139" s="1457"/>
      <c r="F139" s="1432">
        <f t="shared" si="3"/>
        <v>0</v>
      </c>
      <c r="G139" s="52"/>
      <c r="H139" s="63"/>
      <c r="I139" s="53"/>
      <c r="J139" s="54"/>
      <c r="K139" s="53"/>
      <c r="L139" s="53"/>
      <c r="M139" s="53"/>
      <c r="N139" s="55"/>
      <c r="O139" s="55"/>
      <c r="P139" s="55"/>
      <c r="Q139" s="55"/>
    </row>
    <row r="140" spans="1:17" s="56" customFormat="1" ht="38.25" x14ac:dyDescent="0.2">
      <c r="A140" s="1596" t="s">
        <v>211</v>
      </c>
      <c r="B140" s="1603" t="s">
        <v>1351</v>
      </c>
      <c r="C140" s="1598">
        <v>6.06</v>
      </c>
      <c r="D140" s="1571" t="s">
        <v>1340</v>
      </c>
      <c r="E140" s="1457"/>
      <c r="F140" s="1432">
        <f t="shared" si="3"/>
        <v>0</v>
      </c>
      <c r="G140" s="52"/>
      <c r="H140" s="63"/>
      <c r="I140" s="53"/>
      <c r="J140" s="54"/>
      <c r="K140" s="53"/>
      <c r="L140" s="53"/>
      <c r="M140" s="53"/>
      <c r="N140" s="55"/>
      <c r="O140" s="55"/>
      <c r="P140" s="55"/>
      <c r="Q140" s="55"/>
    </row>
    <row r="141" spans="1:17" s="56" customFormat="1" x14ac:dyDescent="0.2">
      <c r="A141" s="1596"/>
      <c r="B141" s="1587"/>
      <c r="C141" s="1588"/>
      <c r="D141" s="1589"/>
      <c r="E141" s="1454"/>
      <c r="F141" s="1432">
        <f t="shared" si="3"/>
        <v>0</v>
      </c>
      <c r="G141" s="52"/>
      <c r="H141" s="63"/>
      <c r="I141" s="53"/>
      <c r="J141" s="54"/>
      <c r="K141" s="53"/>
      <c r="L141" s="53"/>
      <c r="M141" s="53"/>
      <c r="N141" s="55"/>
      <c r="O141" s="55"/>
      <c r="P141" s="55"/>
      <c r="Q141" s="55"/>
    </row>
    <row r="142" spans="1:17" s="56" customFormat="1" ht="25.5" x14ac:dyDescent="0.2">
      <c r="A142" s="1604" t="s">
        <v>212</v>
      </c>
      <c r="B142" s="1605" t="s">
        <v>171</v>
      </c>
      <c r="C142" s="1606">
        <v>1</v>
      </c>
      <c r="D142" s="1607" t="s">
        <v>8</v>
      </c>
      <c r="E142" s="1460"/>
      <c r="F142" s="1432">
        <f t="shared" si="3"/>
        <v>0</v>
      </c>
      <c r="G142" s="52"/>
      <c r="H142" s="63"/>
      <c r="I142" s="53"/>
      <c r="J142" s="54"/>
      <c r="K142" s="53"/>
      <c r="L142" s="53"/>
      <c r="M142" s="53"/>
      <c r="N142" s="55"/>
      <c r="O142" s="55"/>
      <c r="P142" s="55"/>
      <c r="Q142" s="55"/>
    </row>
    <row r="143" spans="1:17" s="56" customFormat="1" x14ac:dyDescent="0.2">
      <c r="A143" s="1604"/>
      <c r="B143" s="1605"/>
      <c r="C143" s="1588"/>
      <c r="D143" s="1589"/>
      <c r="E143" s="1455"/>
      <c r="F143" s="1432">
        <f t="shared" si="3"/>
        <v>0</v>
      </c>
      <c r="G143" s="52"/>
      <c r="H143" s="63"/>
      <c r="I143" s="53"/>
      <c r="J143" s="54"/>
      <c r="K143" s="53"/>
      <c r="L143" s="53"/>
      <c r="M143" s="53"/>
      <c r="N143" s="55"/>
      <c r="O143" s="55"/>
      <c r="P143" s="55"/>
      <c r="Q143" s="55"/>
    </row>
    <row r="144" spans="1:17" s="56" customFormat="1" ht="25.5" x14ac:dyDescent="0.2">
      <c r="A144" s="1604" t="s">
        <v>190</v>
      </c>
      <c r="B144" s="1608" t="s">
        <v>1352</v>
      </c>
      <c r="C144" s="1588">
        <v>25.82</v>
      </c>
      <c r="D144" s="1589" t="s">
        <v>172</v>
      </c>
      <c r="E144" s="1454"/>
      <c r="F144" s="1432">
        <f t="shared" si="3"/>
        <v>0</v>
      </c>
      <c r="G144" s="52"/>
      <c r="H144" s="63"/>
      <c r="I144" s="53"/>
      <c r="J144" s="54"/>
      <c r="K144" s="53"/>
      <c r="L144" s="53"/>
      <c r="M144" s="53"/>
      <c r="N144" s="55"/>
      <c r="O144" s="55"/>
      <c r="P144" s="55"/>
      <c r="Q144" s="55"/>
    </row>
    <row r="145" spans="1:17" s="56" customFormat="1" x14ac:dyDescent="0.2">
      <c r="A145" s="1609"/>
      <c r="B145" s="1610"/>
      <c r="C145" s="1611"/>
      <c r="D145" s="1612"/>
      <c r="E145" s="1461"/>
      <c r="F145" s="1432">
        <f t="shared" si="3"/>
        <v>0</v>
      </c>
      <c r="G145" s="52"/>
      <c r="H145" s="63"/>
      <c r="I145" s="53"/>
      <c r="J145" s="54"/>
      <c r="K145" s="53"/>
      <c r="L145" s="53"/>
      <c r="M145" s="53"/>
      <c r="N145" s="55"/>
      <c r="O145" s="55"/>
      <c r="P145" s="55"/>
      <c r="Q145" s="55"/>
    </row>
    <row r="146" spans="1:17" s="56" customFormat="1" x14ac:dyDescent="0.2">
      <c r="A146" s="1613" t="s">
        <v>213</v>
      </c>
      <c r="B146" s="1614" t="s">
        <v>173</v>
      </c>
      <c r="C146" s="1565"/>
      <c r="D146" s="1615"/>
      <c r="E146" s="1455"/>
      <c r="F146" s="1432">
        <f t="shared" ref="F146:F209" si="4">+E146*C146</f>
        <v>0</v>
      </c>
      <c r="G146" s="52"/>
      <c r="H146" s="63"/>
      <c r="I146" s="53"/>
      <c r="J146" s="53"/>
      <c r="K146" s="53"/>
      <c r="L146" s="53"/>
      <c r="M146" s="53"/>
      <c r="N146" s="55"/>
      <c r="O146" s="55"/>
      <c r="P146" s="55"/>
      <c r="Q146" s="55"/>
    </row>
    <row r="147" spans="1:17" s="15" customFormat="1" ht="14.25" customHeight="1" x14ac:dyDescent="0.2">
      <c r="A147" s="1616" t="s">
        <v>214</v>
      </c>
      <c r="B147" s="1617" t="s">
        <v>1353</v>
      </c>
      <c r="C147" s="1618">
        <v>1</v>
      </c>
      <c r="D147" s="1619" t="s">
        <v>8</v>
      </c>
      <c r="E147" s="1454"/>
      <c r="F147" s="1432">
        <f t="shared" si="4"/>
        <v>0</v>
      </c>
      <c r="G147" s="52"/>
      <c r="H147" s="65"/>
      <c r="I147" s="61"/>
      <c r="J147" s="61"/>
      <c r="K147" s="61"/>
    </row>
    <row r="148" spans="1:17" s="15" customFormat="1" ht="25.5" x14ac:dyDescent="0.2">
      <c r="A148" s="1620" t="s">
        <v>215</v>
      </c>
      <c r="B148" s="1621" t="s">
        <v>1354</v>
      </c>
      <c r="C148" s="1622">
        <v>1</v>
      </c>
      <c r="D148" s="1623" t="s">
        <v>8</v>
      </c>
      <c r="E148" s="1462"/>
      <c r="F148" s="1432">
        <f t="shared" si="4"/>
        <v>0</v>
      </c>
      <c r="G148" s="52"/>
      <c r="H148" s="65"/>
      <c r="I148" s="61"/>
      <c r="J148" s="61"/>
      <c r="K148" s="61"/>
    </row>
    <row r="149" spans="1:17" s="15" customFormat="1" x14ac:dyDescent="0.2">
      <c r="A149" s="1616" t="s">
        <v>216</v>
      </c>
      <c r="B149" s="1617" t="s">
        <v>174</v>
      </c>
      <c r="C149" s="1618">
        <v>1</v>
      </c>
      <c r="D149" s="1619" t="s">
        <v>8</v>
      </c>
      <c r="E149" s="1454"/>
      <c r="F149" s="1432">
        <f t="shared" si="4"/>
        <v>0</v>
      </c>
      <c r="G149" s="52"/>
      <c r="H149" s="65"/>
      <c r="I149" s="61"/>
      <c r="J149" s="61"/>
      <c r="K149" s="61"/>
    </row>
    <row r="150" spans="1:17" s="15" customFormat="1" x14ac:dyDescent="0.2">
      <c r="A150" s="1616" t="s">
        <v>217</v>
      </c>
      <c r="B150" s="1617" t="s">
        <v>175</v>
      </c>
      <c r="C150" s="1618">
        <v>2</v>
      </c>
      <c r="D150" s="1619" t="s">
        <v>8</v>
      </c>
      <c r="E150" s="1454"/>
      <c r="F150" s="1432">
        <f t="shared" si="4"/>
        <v>0</v>
      </c>
      <c r="G150" s="52"/>
      <c r="H150" s="65"/>
      <c r="I150" s="61"/>
      <c r="J150" s="61"/>
      <c r="K150" s="61"/>
    </row>
    <row r="151" spans="1:17" s="15" customFormat="1" x14ac:dyDescent="0.2">
      <c r="A151" s="1616" t="s">
        <v>218</v>
      </c>
      <c r="B151" s="1617" t="s">
        <v>176</v>
      </c>
      <c r="C151" s="1618">
        <v>1</v>
      </c>
      <c r="D151" s="1619" t="s">
        <v>8</v>
      </c>
      <c r="E151" s="1454"/>
      <c r="F151" s="1432">
        <f t="shared" si="4"/>
        <v>0</v>
      </c>
      <c r="G151" s="52"/>
      <c r="H151" s="65"/>
      <c r="I151" s="61"/>
      <c r="J151" s="61"/>
      <c r="K151" s="61"/>
    </row>
    <row r="152" spans="1:17" s="15" customFormat="1" x14ac:dyDescent="0.2">
      <c r="A152" s="1616" t="s">
        <v>219</v>
      </c>
      <c r="B152" s="1617" t="s">
        <v>177</v>
      </c>
      <c r="C152" s="1618">
        <v>1</v>
      </c>
      <c r="D152" s="1619" t="s">
        <v>8</v>
      </c>
      <c r="E152" s="1454"/>
      <c r="F152" s="1432">
        <f t="shared" si="4"/>
        <v>0</v>
      </c>
      <c r="G152" s="52"/>
      <c r="H152" s="65"/>
      <c r="I152" s="61"/>
      <c r="J152" s="61"/>
      <c r="K152" s="61"/>
    </row>
    <row r="153" spans="1:17" s="15" customFormat="1" x14ac:dyDescent="0.2">
      <c r="A153" s="1616" t="s">
        <v>220</v>
      </c>
      <c r="B153" s="1617" t="s">
        <v>178</v>
      </c>
      <c r="C153" s="1618">
        <v>1</v>
      </c>
      <c r="D153" s="1619" t="s">
        <v>8</v>
      </c>
      <c r="E153" s="1454"/>
      <c r="F153" s="1432">
        <f t="shared" si="4"/>
        <v>0</v>
      </c>
      <c r="G153" s="52"/>
      <c r="H153" s="65"/>
      <c r="I153" s="61"/>
      <c r="J153" s="61"/>
      <c r="K153" s="61"/>
    </row>
    <row r="154" spans="1:17" s="15" customFormat="1" x14ac:dyDescent="0.2">
      <c r="A154" s="1616" t="s">
        <v>221</v>
      </c>
      <c r="B154" s="1617" t="s">
        <v>179</v>
      </c>
      <c r="C154" s="1618">
        <v>1</v>
      </c>
      <c r="D154" s="1619" t="s">
        <v>8</v>
      </c>
      <c r="E154" s="1454"/>
      <c r="F154" s="1432">
        <f t="shared" si="4"/>
        <v>0</v>
      </c>
      <c r="G154" s="52"/>
      <c r="H154" s="65"/>
      <c r="I154" s="61"/>
      <c r="J154" s="61"/>
      <c r="K154" s="61"/>
    </row>
    <row r="155" spans="1:17" s="15" customFormat="1" x14ac:dyDescent="0.2">
      <c r="A155" s="1616" t="s">
        <v>222</v>
      </c>
      <c r="B155" s="1617" t="s">
        <v>180</v>
      </c>
      <c r="C155" s="1618">
        <v>1</v>
      </c>
      <c r="D155" s="1619" t="s">
        <v>8</v>
      </c>
      <c r="E155" s="1454"/>
      <c r="F155" s="1432">
        <f t="shared" si="4"/>
        <v>0</v>
      </c>
      <c r="G155" s="52"/>
      <c r="H155" s="65"/>
      <c r="I155" s="61"/>
      <c r="J155" s="61"/>
      <c r="K155" s="61"/>
    </row>
    <row r="156" spans="1:17" s="15" customFormat="1" ht="12.75" customHeight="1" x14ac:dyDescent="0.2">
      <c r="A156" s="1616" t="s">
        <v>223</v>
      </c>
      <c r="B156" s="1617" t="s">
        <v>181</v>
      </c>
      <c r="C156" s="1618">
        <v>1</v>
      </c>
      <c r="D156" s="1619" t="s">
        <v>155</v>
      </c>
      <c r="E156" s="1454"/>
      <c r="F156" s="1432">
        <f t="shared" si="4"/>
        <v>0</v>
      </c>
      <c r="G156" s="52"/>
      <c r="H156" s="65"/>
      <c r="I156" s="61"/>
      <c r="J156" s="61"/>
      <c r="K156" s="61"/>
    </row>
    <row r="157" spans="1:17" s="15" customFormat="1" ht="12.75" customHeight="1" x14ac:dyDescent="0.2">
      <c r="A157" s="1616" t="s">
        <v>224</v>
      </c>
      <c r="B157" s="1617" t="s">
        <v>182</v>
      </c>
      <c r="C157" s="1618">
        <v>1</v>
      </c>
      <c r="D157" s="1619" t="s">
        <v>8</v>
      </c>
      <c r="E157" s="1454"/>
      <c r="F157" s="1432">
        <f t="shared" si="4"/>
        <v>0</v>
      </c>
      <c r="G157" s="52"/>
      <c r="H157" s="65"/>
      <c r="I157" s="61"/>
      <c r="J157" s="61"/>
      <c r="K157" s="61"/>
    </row>
    <row r="158" spans="1:17" s="15" customFormat="1" ht="12.75" customHeight="1" x14ac:dyDescent="0.2">
      <c r="A158" s="1616" t="s">
        <v>225</v>
      </c>
      <c r="B158" s="1617" t="s">
        <v>1355</v>
      </c>
      <c r="C158" s="1618">
        <v>1</v>
      </c>
      <c r="D158" s="1619" t="s">
        <v>263</v>
      </c>
      <c r="E158" s="1457"/>
      <c r="F158" s="1432">
        <f t="shared" si="4"/>
        <v>0</v>
      </c>
      <c r="G158" s="52"/>
      <c r="H158" s="65"/>
      <c r="I158" s="61"/>
      <c r="J158" s="61"/>
      <c r="K158" s="61"/>
    </row>
    <row r="159" spans="1:17" s="15" customFormat="1" ht="12.75" customHeight="1" x14ac:dyDescent="0.2">
      <c r="A159" s="1616" t="s">
        <v>226</v>
      </c>
      <c r="B159" s="1617" t="s">
        <v>183</v>
      </c>
      <c r="C159" s="1618">
        <v>1</v>
      </c>
      <c r="D159" s="1619" t="s">
        <v>155</v>
      </c>
      <c r="E159" s="1454"/>
      <c r="F159" s="1432">
        <f t="shared" si="4"/>
        <v>0</v>
      </c>
      <c r="G159" s="52"/>
      <c r="H159" s="65"/>
      <c r="I159" s="61"/>
      <c r="J159" s="61"/>
      <c r="K159" s="61"/>
    </row>
    <row r="160" spans="1:17" s="15" customFormat="1" x14ac:dyDescent="0.2">
      <c r="A160" s="1624"/>
      <c r="B160" s="1617"/>
      <c r="C160" s="1618"/>
      <c r="D160" s="1619"/>
      <c r="E160" s="1463"/>
      <c r="F160" s="1432">
        <f t="shared" si="4"/>
        <v>0</v>
      </c>
      <c r="G160" s="52"/>
      <c r="H160" s="65"/>
      <c r="I160" s="61"/>
      <c r="J160" s="61"/>
      <c r="K160" s="61"/>
    </row>
    <row r="161" spans="1:17" s="56" customFormat="1" x14ac:dyDescent="0.2">
      <c r="A161" s="1613" t="s">
        <v>227</v>
      </c>
      <c r="B161" s="1595" t="s">
        <v>1300</v>
      </c>
      <c r="C161" s="1625"/>
      <c r="D161" s="1589"/>
      <c r="E161" s="1455"/>
      <c r="F161" s="1432">
        <f t="shared" si="4"/>
        <v>0</v>
      </c>
      <c r="G161" s="52"/>
      <c r="H161" s="63"/>
      <c r="I161" s="53"/>
      <c r="J161" s="53"/>
      <c r="K161" s="53"/>
      <c r="L161" s="53"/>
      <c r="M161" s="53"/>
      <c r="N161" s="55"/>
      <c r="O161" s="55"/>
      <c r="P161" s="55"/>
      <c r="Q161" s="55"/>
    </row>
    <row r="162" spans="1:17" s="56" customFormat="1" ht="25.5" x14ac:dyDescent="0.2">
      <c r="A162" s="1596" t="s">
        <v>228</v>
      </c>
      <c r="B162" s="1626" t="s">
        <v>184</v>
      </c>
      <c r="C162" s="1625">
        <v>1</v>
      </c>
      <c r="D162" s="1589" t="s">
        <v>8</v>
      </c>
      <c r="E162" s="1454"/>
      <c r="F162" s="1432">
        <f t="shared" si="4"/>
        <v>0</v>
      </c>
      <c r="G162" s="52"/>
      <c r="H162" s="63"/>
      <c r="I162" s="62"/>
      <c r="J162" s="53"/>
      <c r="K162" s="53"/>
      <c r="L162" s="53"/>
      <c r="M162" s="53"/>
      <c r="N162" s="55"/>
      <c r="O162" s="55"/>
      <c r="P162" s="55"/>
      <c r="Q162" s="55"/>
    </row>
    <row r="163" spans="1:17" s="56" customFormat="1" x14ac:dyDescent="0.2">
      <c r="A163" s="1596" t="s">
        <v>229</v>
      </c>
      <c r="B163" s="1626" t="s">
        <v>185</v>
      </c>
      <c r="C163" s="1625">
        <v>6</v>
      </c>
      <c r="D163" s="1589" t="s">
        <v>8</v>
      </c>
      <c r="E163" s="1454"/>
      <c r="F163" s="1432">
        <f t="shared" si="4"/>
        <v>0</v>
      </c>
      <c r="G163" s="52"/>
      <c r="H163" s="63"/>
      <c r="I163" s="62"/>
      <c r="J163" s="53"/>
      <c r="K163" s="53"/>
      <c r="L163" s="53"/>
      <c r="M163" s="53"/>
      <c r="N163" s="55"/>
      <c r="O163" s="55"/>
      <c r="P163" s="55"/>
      <c r="Q163" s="55"/>
    </row>
    <row r="164" spans="1:17" s="56" customFormat="1" x14ac:dyDescent="0.2">
      <c r="A164" s="1596" t="s">
        <v>230</v>
      </c>
      <c r="B164" s="1587" t="s">
        <v>186</v>
      </c>
      <c r="C164" s="1625">
        <v>3</v>
      </c>
      <c r="D164" s="1589" t="s">
        <v>8</v>
      </c>
      <c r="E164" s="1454"/>
      <c r="F164" s="1432">
        <f t="shared" si="4"/>
        <v>0</v>
      </c>
      <c r="G164" s="52"/>
      <c r="H164" s="63"/>
      <c r="I164" s="62"/>
      <c r="J164" s="53"/>
      <c r="K164" s="53"/>
      <c r="L164" s="53"/>
      <c r="M164" s="53"/>
      <c r="N164" s="55"/>
      <c r="O164" s="55"/>
      <c r="P164" s="55"/>
      <c r="Q164" s="55"/>
    </row>
    <row r="165" spans="1:17" s="56" customFormat="1" x14ac:dyDescent="0.2">
      <c r="A165" s="1596" t="s">
        <v>231</v>
      </c>
      <c r="B165" s="1587" t="s">
        <v>187</v>
      </c>
      <c r="C165" s="1625">
        <v>3</v>
      </c>
      <c r="D165" s="1589" t="s">
        <v>8</v>
      </c>
      <c r="E165" s="1454"/>
      <c r="F165" s="1432">
        <f t="shared" si="4"/>
        <v>0</v>
      </c>
      <c r="G165" s="52"/>
      <c r="H165" s="63"/>
      <c r="I165" s="53"/>
      <c r="J165" s="53"/>
      <c r="K165" s="53"/>
      <c r="L165" s="53"/>
      <c r="M165" s="53"/>
      <c r="N165" s="55"/>
      <c r="O165" s="55"/>
      <c r="P165" s="55"/>
      <c r="Q165" s="55"/>
    </row>
    <row r="166" spans="1:17" s="56" customFormat="1" x14ac:dyDescent="0.2">
      <c r="A166" s="1596"/>
      <c r="B166" s="1587"/>
      <c r="C166" s="1625"/>
      <c r="D166" s="1589"/>
      <c r="E166" s="1454"/>
      <c r="F166" s="1432">
        <f t="shared" si="4"/>
        <v>0</v>
      </c>
      <c r="G166" s="52"/>
      <c r="H166" s="63"/>
      <c r="I166" s="53"/>
      <c r="J166" s="53"/>
      <c r="K166" s="53"/>
      <c r="L166" s="53"/>
      <c r="M166" s="53"/>
      <c r="N166" s="55"/>
      <c r="O166" s="55"/>
      <c r="P166" s="55"/>
      <c r="Q166" s="55"/>
    </row>
    <row r="167" spans="1:17" s="56" customFormat="1" x14ac:dyDescent="0.2">
      <c r="A167" s="1616">
        <v>4.3</v>
      </c>
      <c r="B167" s="1617" t="s">
        <v>1356</v>
      </c>
      <c r="C167" s="1618">
        <v>1</v>
      </c>
      <c r="D167" s="1619" t="s">
        <v>8</v>
      </c>
      <c r="E167" s="1454"/>
      <c r="F167" s="1432">
        <f t="shared" si="4"/>
        <v>0</v>
      </c>
      <c r="G167" s="52"/>
      <c r="H167" s="63"/>
      <c r="I167" s="53"/>
      <c r="J167" s="53"/>
      <c r="K167" s="53"/>
      <c r="L167" s="53"/>
      <c r="M167" s="53"/>
      <c r="N167" s="55"/>
      <c r="O167" s="55"/>
      <c r="P167" s="55"/>
      <c r="Q167" s="55"/>
    </row>
    <row r="168" spans="1:17" ht="12.75" customHeight="1" x14ac:dyDescent="0.25">
      <c r="A168" s="1627"/>
      <c r="B168" s="1628" t="s">
        <v>67</v>
      </c>
      <c r="C168" s="1629"/>
      <c r="D168" s="1630"/>
      <c r="E168" s="1464"/>
      <c r="F168" s="1464">
        <f>SUM(F17:F167)</f>
        <v>0</v>
      </c>
      <c r="G168" s="5"/>
      <c r="H168" s="5"/>
    </row>
    <row r="169" spans="1:17" ht="6.75" customHeight="1" x14ac:dyDescent="0.25">
      <c r="A169" s="1538"/>
      <c r="B169" s="1539"/>
      <c r="C169" s="1540"/>
      <c r="D169" s="1631"/>
      <c r="E169" s="1440"/>
      <c r="F169" s="1432">
        <f t="shared" si="4"/>
        <v>0</v>
      </c>
      <c r="G169" s="5"/>
      <c r="H169" s="5"/>
    </row>
    <row r="170" spans="1:17" x14ac:dyDescent="0.25">
      <c r="A170" s="1506" t="s">
        <v>68</v>
      </c>
      <c r="B170" s="1515" t="s">
        <v>69</v>
      </c>
      <c r="C170" s="1540"/>
      <c r="D170" s="1631"/>
      <c r="E170" s="1440"/>
      <c r="F170" s="1432">
        <f t="shared" si="4"/>
        <v>0</v>
      </c>
      <c r="G170" s="5"/>
      <c r="H170" s="5"/>
    </row>
    <row r="171" spans="1:17" ht="12.75" customHeight="1" x14ac:dyDescent="0.25">
      <c r="A171" s="1552">
        <v>1</v>
      </c>
      <c r="B171" s="1511" t="s">
        <v>70</v>
      </c>
      <c r="C171" s="1632"/>
      <c r="D171" s="1633"/>
      <c r="E171" s="1444"/>
      <c r="F171" s="1432">
        <f t="shared" si="4"/>
        <v>0</v>
      </c>
      <c r="G171" s="5"/>
      <c r="H171" s="5"/>
      <c r="I171" s="12"/>
      <c r="J171" s="6"/>
    </row>
    <row r="172" spans="1:17" x14ac:dyDescent="0.25">
      <c r="A172" s="1518">
        <v>1.1000000000000001</v>
      </c>
      <c r="B172" s="1519" t="s">
        <v>16</v>
      </c>
      <c r="C172" s="1520">
        <v>1</v>
      </c>
      <c r="D172" s="1521" t="s">
        <v>8</v>
      </c>
      <c r="E172" s="1431"/>
      <c r="F172" s="1432">
        <f t="shared" si="4"/>
        <v>0</v>
      </c>
      <c r="G172" s="5"/>
      <c r="H172" s="5"/>
    </row>
    <row r="173" spans="1:17" ht="13.5" customHeight="1" x14ac:dyDescent="0.25">
      <c r="A173" s="1518">
        <v>1.2</v>
      </c>
      <c r="B173" s="1519" t="s">
        <v>17</v>
      </c>
      <c r="C173" s="1520">
        <v>1</v>
      </c>
      <c r="D173" s="1521" t="s">
        <v>8</v>
      </c>
      <c r="E173" s="1431"/>
      <c r="F173" s="1432">
        <f t="shared" si="4"/>
        <v>0</v>
      </c>
      <c r="G173" s="5"/>
      <c r="H173" s="5"/>
    </row>
    <row r="174" spans="1:17" x14ac:dyDescent="0.25">
      <c r="A174" s="1518">
        <v>1.3</v>
      </c>
      <c r="B174" s="1522" t="s">
        <v>18</v>
      </c>
      <c r="C174" s="1520">
        <v>2</v>
      </c>
      <c r="D174" s="1521" t="s">
        <v>8</v>
      </c>
      <c r="E174" s="1431"/>
      <c r="F174" s="1432">
        <f t="shared" si="4"/>
        <v>0</v>
      </c>
      <c r="G174" s="5"/>
      <c r="H174" s="5"/>
    </row>
    <row r="175" spans="1:17" x14ac:dyDescent="0.25">
      <c r="A175" s="1518">
        <v>1.4</v>
      </c>
      <c r="B175" s="1519" t="s">
        <v>19</v>
      </c>
      <c r="C175" s="1523">
        <v>2</v>
      </c>
      <c r="D175" s="1521" t="s">
        <v>8</v>
      </c>
      <c r="E175" s="1431"/>
      <c r="F175" s="1432">
        <f t="shared" si="4"/>
        <v>0</v>
      </c>
      <c r="G175" s="5"/>
      <c r="H175" s="5"/>
    </row>
    <row r="176" spans="1:17" x14ac:dyDescent="0.25">
      <c r="A176" s="1518">
        <v>1.5</v>
      </c>
      <c r="B176" s="1524" t="s">
        <v>22</v>
      </c>
      <c r="C176" s="1525">
        <v>2</v>
      </c>
      <c r="D176" s="1526" t="s">
        <v>8</v>
      </c>
      <c r="E176" s="1434"/>
      <c r="F176" s="1432">
        <f t="shared" si="4"/>
        <v>0</v>
      </c>
      <c r="G176" s="5"/>
      <c r="H176" s="5"/>
      <c r="I176" s="6"/>
    </row>
    <row r="177" spans="1:10" ht="25.5" x14ac:dyDescent="0.25">
      <c r="A177" s="1518">
        <v>1.6</v>
      </c>
      <c r="B177" s="1522" t="s">
        <v>26</v>
      </c>
      <c r="C177" s="1528">
        <v>1</v>
      </c>
      <c r="D177" s="1529" t="s">
        <v>8</v>
      </c>
      <c r="E177" s="1435"/>
      <c r="F177" s="1432">
        <f t="shared" si="4"/>
        <v>0</v>
      </c>
      <c r="G177" s="5"/>
      <c r="H177" s="5"/>
    </row>
    <row r="178" spans="1:10" x14ac:dyDescent="0.25">
      <c r="A178" s="1518">
        <v>1.7</v>
      </c>
      <c r="B178" s="1522" t="s">
        <v>27</v>
      </c>
      <c r="C178" s="1520">
        <v>1</v>
      </c>
      <c r="D178" s="1521" t="s">
        <v>8</v>
      </c>
      <c r="E178" s="1431"/>
      <c r="F178" s="1432">
        <f t="shared" si="4"/>
        <v>0</v>
      </c>
      <c r="G178" s="5"/>
      <c r="H178" s="5"/>
    </row>
    <row r="179" spans="1:10" x14ac:dyDescent="0.25">
      <c r="A179" s="1518">
        <v>1.8</v>
      </c>
      <c r="B179" s="1522" t="s">
        <v>28</v>
      </c>
      <c r="C179" s="1528">
        <v>1</v>
      </c>
      <c r="D179" s="1529" t="s">
        <v>8</v>
      </c>
      <c r="E179" s="1435"/>
      <c r="F179" s="1432">
        <f t="shared" si="4"/>
        <v>0</v>
      </c>
      <c r="G179" s="5"/>
      <c r="H179" s="5"/>
    </row>
    <row r="180" spans="1:10" ht="25.5" x14ac:dyDescent="0.25">
      <c r="A180" s="1518">
        <v>1.9</v>
      </c>
      <c r="B180" s="1522" t="s">
        <v>71</v>
      </c>
      <c r="C180" s="1528">
        <v>3</v>
      </c>
      <c r="D180" s="1529" t="s">
        <v>8</v>
      </c>
      <c r="E180" s="1436"/>
      <c r="F180" s="1432">
        <f t="shared" si="4"/>
        <v>0</v>
      </c>
      <c r="G180" s="5"/>
      <c r="H180" s="5"/>
    </row>
    <row r="181" spans="1:10" x14ac:dyDescent="0.25">
      <c r="A181" s="1527">
        <v>1.1000000000000001</v>
      </c>
      <c r="B181" s="1522" t="s">
        <v>30</v>
      </c>
      <c r="C181" s="1520">
        <v>400</v>
      </c>
      <c r="D181" s="1521" t="s">
        <v>31</v>
      </c>
      <c r="E181" s="1437"/>
      <c r="F181" s="1432">
        <f t="shared" si="4"/>
        <v>0</v>
      </c>
      <c r="G181" s="5"/>
      <c r="H181" s="1413"/>
      <c r="I181" s="1414"/>
      <c r="J181" s="1414"/>
    </row>
    <row r="182" spans="1:10" ht="12.75" customHeight="1" x14ac:dyDescent="0.25">
      <c r="A182" s="1527">
        <v>1.1100000000000001</v>
      </c>
      <c r="B182" s="1530" t="s">
        <v>32</v>
      </c>
      <c r="C182" s="1531">
        <v>3</v>
      </c>
      <c r="D182" s="1532" t="s">
        <v>8</v>
      </c>
      <c r="E182" s="1431"/>
      <c r="F182" s="1432">
        <f t="shared" si="4"/>
        <v>0</v>
      </c>
      <c r="G182" s="5"/>
      <c r="H182" s="1413"/>
      <c r="I182" s="1414"/>
      <c r="J182" s="1414"/>
    </row>
    <row r="183" spans="1:10" x14ac:dyDescent="0.25">
      <c r="A183" s="1527">
        <v>1.1200000000000001</v>
      </c>
      <c r="B183" s="1524" t="s">
        <v>33</v>
      </c>
      <c r="C183" s="1525">
        <v>1</v>
      </c>
      <c r="D183" s="1526" t="s">
        <v>8</v>
      </c>
      <c r="E183" s="1434"/>
      <c r="F183" s="1432">
        <f t="shared" si="4"/>
        <v>0</v>
      </c>
      <c r="G183" s="5"/>
      <c r="H183" s="1413"/>
      <c r="I183" s="1414"/>
      <c r="J183" s="1414"/>
    </row>
    <row r="184" spans="1:10" x14ac:dyDescent="0.25">
      <c r="A184" s="1527">
        <v>1.1299999999999999</v>
      </c>
      <c r="B184" s="1533" t="s">
        <v>1337</v>
      </c>
      <c r="C184" s="7">
        <v>2</v>
      </c>
      <c r="D184" s="1534" t="s">
        <v>8</v>
      </c>
      <c r="E184" s="8"/>
      <c r="F184" s="1432">
        <f t="shared" si="4"/>
        <v>0</v>
      </c>
      <c r="G184" s="5"/>
      <c r="H184" s="1413"/>
      <c r="I184" s="1414"/>
      <c r="J184" s="1414"/>
    </row>
    <row r="185" spans="1:10" x14ac:dyDescent="0.25">
      <c r="A185" s="1527">
        <v>1.1399999999999999</v>
      </c>
      <c r="B185" s="1530" t="s">
        <v>35</v>
      </c>
      <c r="C185" s="1535">
        <v>2</v>
      </c>
      <c r="D185" s="1532" t="s">
        <v>8</v>
      </c>
      <c r="E185" s="8"/>
      <c r="F185" s="1432">
        <f t="shared" si="4"/>
        <v>0</v>
      </c>
      <c r="G185" s="5"/>
      <c r="H185" s="1413"/>
      <c r="I185" s="1414"/>
      <c r="J185" s="1414"/>
    </row>
    <row r="186" spans="1:10" x14ac:dyDescent="0.25">
      <c r="A186" s="1527">
        <v>1.1499999999999999</v>
      </c>
      <c r="B186" s="1524" t="s">
        <v>36</v>
      </c>
      <c r="C186" s="1525">
        <v>2</v>
      </c>
      <c r="D186" s="1526" t="s">
        <v>8</v>
      </c>
      <c r="E186" s="1438"/>
      <c r="F186" s="1432">
        <f t="shared" si="4"/>
        <v>0</v>
      </c>
      <c r="G186" s="5"/>
      <c r="H186" s="1413"/>
      <c r="I186" s="1414"/>
      <c r="J186" s="1414"/>
    </row>
    <row r="187" spans="1:10" x14ac:dyDescent="0.25">
      <c r="A187" s="1527">
        <v>1.1599999999999999</v>
      </c>
      <c r="B187" s="1524" t="s">
        <v>1336</v>
      </c>
      <c r="C187" s="1525">
        <v>1</v>
      </c>
      <c r="D187" s="1526" t="s">
        <v>8</v>
      </c>
      <c r="E187" s="1434"/>
      <c r="F187" s="1432">
        <f t="shared" si="4"/>
        <v>0</v>
      </c>
      <c r="G187" s="5"/>
      <c r="H187" s="1413"/>
      <c r="I187" s="1414"/>
      <c r="J187" s="1414"/>
    </row>
    <row r="188" spans="1:10" ht="25.5" x14ac:dyDescent="0.25">
      <c r="A188" s="1527">
        <v>1.17</v>
      </c>
      <c r="B188" s="1524" t="s">
        <v>38</v>
      </c>
      <c r="C188" s="1536">
        <v>1</v>
      </c>
      <c r="D188" s="1537" t="s">
        <v>8</v>
      </c>
      <c r="E188" s="1439"/>
      <c r="F188" s="1432">
        <f t="shared" si="4"/>
        <v>0</v>
      </c>
      <c r="G188" s="5"/>
      <c r="H188" s="1413"/>
      <c r="I188" s="1414"/>
      <c r="J188" s="1414"/>
    </row>
    <row r="189" spans="1:10" x14ac:dyDescent="0.25">
      <c r="A189" s="1527">
        <v>1.18</v>
      </c>
      <c r="B189" s="1524" t="s">
        <v>72</v>
      </c>
      <c r="C189" s="1525">
        <v>1</v>
      </c>
      <c r="D189" s="1526" t="s">
        <v>8</v>
      </c>
      <c r="E189" s="1434"/>
      <c r="F189" s="1432">
        <f t="shared" si="4"/>
        <v>0</v>
      </c>
      <c r="G189" s="5"/>
      <c r="H189" s="1413"/>
      <c r="I189" s="1414"/>
      <c r="J189" s="1414"/>
    </row>
    <row r="190" spans="1:10" ht="9" customHeight="1" x14ac:dyDescent="0.25">
      <c r="A190" s="1538"/>
      <c r="B190" s="1539"/>
      <c r="C190" s="1540"/>
      <c r="D190" s="1541"/>
      <c r="E190" s="1440"/>
      <c r="F190" s="1432">
        <f t="shared" si="4"/>
        <v>0</v>
      </c>
      <c r="G190" s="5"/>
      <c r="H190" s="1413"/>
      <c r="I190" s="1415"/>
      <c r="J190" s="1415"/>
    </row>
    <row r="191" spans="1:10" ht="4.5" customHeight="1" x14ac:dyDescent="0.25">
      <c r="A191" s="1538"/>
      <c r="B191" s="1634"/>
      <c r="C191" s="1540"/>
      <c r="D191" s="1631"/>
      <c r="E191" s="1440"/>
      <c r="F191" s="1432">
        <f t="shared" si="4"/>
        <v>0</v>
      </c>
      <c r="G191" s="5"/>
      <c r="H191" s="1413"/>
      <c r="I191" s="1414"/>
      <c r="J191" s="1414"/>
    </row>
    <row r="192" spans="1:10" ht="25.5" customHeight="1" x14ac:dyDescent="0.25">
      <c r="A192" s="1542">
        <v>2</v>
      </c>
      <c r="B192" s="1543" t="s">
        <v>73</v>
      </c>
      <c r="C192" s="7"/>
      <c r="D192" s="1544"/>
      <c r="E192" s="1441"/>
      <c r="F192" s="1432">
        <f t="shared" si="4"/>
        <v>0</v>
      </c>
      <c r="G192" s="5"/>
      <c r="H192" s="1413"/>
      <c r="I192" s="1414"/>
      <c r="J192" s="1414"/>
    </row>
    <row r="193" spans="1:12" ht="77.25" customHeight="1" x14ac:dyDescent="0.25">
      <c r="A193" s="1545">
        <v>2.1</v>
      </c>
      <c r="B193" s="1635" t="s">
        <v>1335</v>
      </c>
      <c r="C193" s="9">
        <v>5</v>
      </c>
      <c r="D193" s="1547" t="s">
        <v>41</v>
      </c>
      <c r="E193" s="1442"/>
      <c r="F193" s="1432">
        <f t="shared" si="4"/>
        <v>0</v>
      </c>
      <c r="G193" s="5"/>
      <c r="H193" s="1413"/>
      <c r="I193" s="1414"/>
      <c r="J193" s="1414"/>
    </row>
    <row r="194" spans="1:12" ht="77.25" customHeight="1" x14ac:dyDescent="0.25">
      <c r="A194" s="1549">
        <v>2.2000000000000002</v>
      </c>
      <c r="B194" s="1636" t="s">
        <v>1334</v>
      </c>
      <c r="C194" s="1395">
        <v>15</v>
      </c>
      <c r="D194" s="1637" t="s">
        <v>41</v>
      </c>
      <c r="E194" s="1465"/>
      <c r="F194" s="1432">
        <f t="shared" si="4"/>
        <v>0</v>
      </c>
      <c r="G194" s="5"/>
      <c r="H194" s="1413"/>
      <c r="I194" s="1414"/>
      <c r="J194" s="1414"/>
    </row>
    <row r="195" spans="1:12" ht="40.5" customHeight="1" x14ac:dyDescent="0.25">
      <c r="A195" s="1545">
        <v>2.2999999999999998</v>
      </c>
      <c r="B195" s="1546" t="s">
        <v>1333</v>
      </c>
      <c r="C195" s="9">
        <v>5</v>
      </c>
      <c r="D195" s="1547" t="s">
        <v>41</v>
      </c>
      <c r="E195" s="1442"/>
      <c r="F195" s="1432">
        <f t="shared" si="4"/>
        <v>0</v>
      </c>
      <c r="G195" s="5"/>
      <c r="H195" s="1413"/>
      <c r="I195" s="1414"/>
      <c r="J195" s="1414"/>
    </row>
    <row r="196" spans="1:12" x14ac:dyDescent="0.25">
      <c r="A196" s="1538"/>
      <c r="B196" s="1634"/>
      <c r="C196" s="1540"/>
      <c r="D196" s="1541"/>
      <c r="E196" s="1440"/>
      <c r="F196" s="1432">
        <f t="shared" si="4"/>
        <v>0</v>
      </c>
      <c r="G196" s="5"/>
      <c r="H196" s="1413"/>
      <c r="I196" s="1414"/>
      <c r="J196" s="1414"/>
    </row>
    <row r="197" spans="1:12" ht="13.5" customHeight="1" x14ac:dyDescent="0.25">
      <c r="A197" s="1552">
        <v>3</v>
      </c>
      <c r="B197" s="1543" t="s">
        <v>74</v>
      </c>
      <c r="C197" s="1632"/>
      <c r="D197" s="1633"/>
      <c r="E197" s="1444"/>
      <c r="F197" s="1432">
        <f t="shared" si="4"/>
        <v>0</v>
      </c>
      <c r="G197" s="5"/>
      <c r="H197" s="1413"/>
      <c r="I197" s="1414"/>
      <c r="J197" s="1414"/>
    </row>
    <row r="198" spans="1:12" ht="38.25" x14ac:dyDescent="0.25">
      <c r="A198" s="1554">
        <v>3.1</v>
      </c>
      <c r="B198" s="1524" t="s">
        <v>75</v>
      </c>
      <c r="C198" s="9">
        <v>1</v>
      </c>
      <c r="D198" s="1548" t="s">
        <v>8</v>
      </c>
      <c r="E198" s="1442"/>
      <c r="F198" s="1432">
        <f t="shared" si="4"/>
        <v>0</v>
      </c>
      <c r="G198" s="5"/>
      <c r="H198" s="1413"/>
      <c r="I198" s="1415"/>
      <c r="J198" s="1414"/>
    </row>
    <row r="199" spans="1:12" ht="65.25" customHeight="1" x14ac:dyDescent="0.25">
      <c r="A199" s="1554">
        <v>3.2</v>
      </c>
      <c r="B199" s="1524" t="s">
        <v>1332</v>
      </c>
      <c r="C199" s="9">
        <v>1</v>
      </c>
      <c r="D199" s="1548" t="s">
        <v>8</v>
      </c>
      <c r="E199" s="1442"/>
      <c r="F199" s="1432">
        <f t="shared" si="4"/>
        <v>0</v>
      </c>
      <c r="G199" s="5"/>
      <c r="H199" s="1413"/>
      <c r="I199" s="1414"/>
      <c r="J199" s="1414"/>
      <c r="L199" s="6"/>
    </row>
    <row r="200" spans="1:12" ht="12.75" customHeight="1" x14ac:dyDescent="0.25">
      <c r="A200" s="1554">
        <v>3.3</v>
      </c>
      <c r="B200" s="1524" t="s">
        <v>76</v>
      </c>
      <c r="C200" s="7">
        <v>185</v>
      </c>
      <c r="D200" s="1541" t="s">
        <v>31</v>
      </c>
      <c r="E200" s="1440"/>
      <c r="F200" s="1432">
        <f t="shared" si="4"/>
        <v>0</v>
      </c>
      <c r="G200" s="5"/>
      <c r="H200" s="1413"/>
      <c r="I200" s="1414"/>
      <c r="J200" s="1414"/>
      <c r="L200" s="6"/>
    </row>
    <row r="201" spans="1:12" ht="25.5" customHeight="1" x14ac:dyDescent="0.25">
      <c r="A201" s="1554">
        <v>3.4</v>
      </c>
      <c r="B201" s="1524" t="s">
        <v>52</v>
      </c>
      <c r="C201" s="9">
        <v>185</v>
      </c>
      <c r="D201" s="1556" t="s">
        <v>31</v>
      </c>
      <c r="E201" s="1445"/>
      <c r="F201" s="1432">
        <f t="shared" si="4"/>
        <v>0</v>
      </c>
      <c r="G201" s="5"/>
      <c r="H201" s="1413"/>
      <c r="I201" s="1414"/>
      <c r="J201" s="1414"/>
    </row>
    <row r="202" spans="1:12" x14ac:dyDescent="0.25">
      <c r="A202" s="1554">
        <v>3.5</v>
      </c>
      <c r="B202" s="1524" t="s">
        <v>53</v>
      </c>
      <c r="C202" s="7">
        <v>1</v>
      </c>
      <c r="D202" s="1541" t="s">
        <v>8</v>
      </c>
      <c r="E202" s="1440"/>
      <c r="F202" s="1432">
        <f t="shared" si="4"/>
        <v>0</v>
      </c>
      <c r="G202" s="5"/>
      <c r="H202" s="1413"/>
      <c r="I202" s="1414"/>
      <c r="J202" s="1414"/>
    </row>
    <row r="203" spans="1:12" ht="12.75" customHeight="1" x14ac:dyDescent="0.25">
      <c r="A203" s="1554">
        <v>3.6</v>
      </c>
      <c r="B203" s="1524" t="s">
        <v>77</v>
      </c>
      <c r="C203" s="7">
        <v>1</v>
      </c>
      <c r="D203" s="1541" t="s">
        <v>8</v>
      </c>
      <c r="E203" s="1440"/>
      <c r="F203" s="1432">
        <f t="shared" si="4"/>
        <v>0</v>
      </c>
      <c r="G203" s="5"/>
      <c r="H203" s="1413"/>
      <c r="I203" s="1414"/>
      <c r="J203" s="1414"/>
    </row>
    <row r="204" spans="1:12" ht="12.75" customHeight="1" x14ac:dyDescent="0.25">
      <c r="A204" s="1554">
        <v>3.7</v>
      </c>
      <c r="B204" s="1524" t="s">
        <v>78</v>
      </c>
      <c r="C204" s="7">
        <v>2</v>
      </c>
      <c r="D204" s="1544" t="s">
        <v>8</v>
      </c>
      <c r="E204" s="1441"/>
      <c r="F204" s="1432">
        <f t="shared" si="4"/>
        <v>0</v>
      </c>
      <c r="G204" s="5"/>
      <c r="H204" s="1413"/>
      <c r="I204" s="1414"/>
      <c r="J204" s="1414"/>
    </row>
    <row r="205" spans="1:12" ht="12.75" customHeight="1" x14ac:dyDescent="0.25">
      <c r="A205" s="1554">
        <v>3.8</v>
      </c>
      <c r="B205" s="1524" t="s">
        <v>79</v>
      </c>
      <c r="C205" s="7">
        <v>2</v>
      </c>
      <c r="D205" s="1638" t="s">
        <v>8</v>
      </c>
      <c r="E205" s="1441"/>
      <c r="F205" s="1432">
        <f t="shared" si="4"/>
        <v>0</v>
      </c>
      <c r="G205" s="5"/>
      <c r="H205" s="1413"/>
      <c r="I205" s="1414"/>
      <c r="J205" s="1414"/>
    </row>
    <row r="206" spans="1:12" ht="12.75" customHeight="1" x14ac:dyDescent="0.25">
      <c r="A206" s="1554">
        <v>3.9</v>
      </c>
      <c r="B206" s="1524" t="s">
        <v>1331</v>
      </c>
      <c r="C206" s="1639">
        <v>1</v>
      </c>
      <c r="D206" s="1638" t="s">
        <v>8</v>
      </c>
      <c r="E206" s="1441"/>
      <c r="F206" s="1432">
        <f t="shared" si="4"/>
        <v>0</v>
      </c>
      <c r="G206" s="5"/>
      <c r="H206" s="1413"/>
      <c r="I206" s="1414"/>
      <c r="J206" s="1414"/>
    </row>
    <row r="207" spans="1:12" ht="25.5" x14ac:dyDescent="0.25">
      <c r="A207" s="1557">
        <v>3.1</v>
      </c>
      <c r="B207" s="1524" t="s">
        <v>1330</v>
      </c>
      <c r="C207" s="1640">
        <v>1</v>
      </c>
      <c r="D207" s="1641" t="s">
        <v>8</v>
      </c>
      <c r="E207" s="1445"/>
      <c r="F207" s="1432">
        <f t="shared" si="4"/>
        <v>0</v>
      </c>
      <c r="G207" s="5"/>
      <c r="H207" s="1413"/>
      <c r="I207" s="1414"/>
      <c r="J207" s="1414"/>
      <c r="K207" s="6"/>
    </row>
    <row r="208" spans="1:12" ht="12.75" customHeight="1" x14ac:dyDescent="0.25">
      <c r="A208" s="1557">
        <v>3.11</v>
      </c>
      <c r="B208" s="1524" t="s">
        <v>80</v>
      </c>
      <c r="C208" s="1639">
        <v>1</v>
      </c>
      <c r="D208" s="1642" t="s">
        <v>8</v>
      </c>
      <c r="E208" s="1440"/>
      <c r="F208" s="1432">
        <f t="shared" si="4"/>
        <v>0</v>
      </c>
      <c r="G208" s="5"/>
      <c r="H208" s="1413"/>
      <c r="I208" s="1414"/>
      <c r="J208" s="1414"/>
    </row>
    <row r="209" spans="1:11" x14ac:dyDescent="0.25">
      <c r="A209" s="1557">
        <v>3.12</v>
      </c>
      <c r="B209" s="1524" t="s">
        <v>81</v>
      </c>
      <c r="C209" s="1639">
        <v>1</v>
      </c>
      <c r="D209" s="1642" t="s">
        <v>8</v>
      </c>
      <c r="E209" s="1440"/>
      <c r="F209" s="1432">
        <f t="shared" si="4"/>
        <v>0</v>
      </c>
      <c r="G209" s="5"/>
      <c r="H209" s="1413"/>
      <c r="I209" s="1414"/>
      <c r="J209" s="1414"/>
    </row>
    <row r="210" spans="1:11" ht="25.5" x14ac:dyDescent="0.25">
      <c r="A210" s="1557">
        <v>3.13</v>
      </c>
      <c r="B210" s="1524" t="s">
        <v>1329</v>
      </c>
      <c r="C210" s="1640">
        <v>1</v>
      </c>
      <c r="D210" s="1641" t="s">
        <v>8</v>
      </c>
      <c r="E210" s="1445"/>
      <c r="F210" s="1432">
        <f t="shared" ref="F210:F273" si="5">+E210*C210</f>
        <v>0</v>
      </c>
      <c r="G210" s="5"/>
      <c r="H210" s="1413"/>
      <c r="I210" s="1414"/>
      <c r="J210" s="1414"/>
    </row>
    <row r="211" spans="1:11" ht="25.5" x14ac:dyDescent="0.25">
      <c r="A211" s="1557">
        <v>3.14</v>
      </c>
      <c r="B211" s="1524" t="s">
        <v>1328</v>
      </c>
      <c r="C211" s="1640">
        <v>1</v>
      </c>
      <c r="D211" s="1641" t="s">
        <v>8</v>
      </c>
      <c r="E211" s="1445"/>
      <c r="F211" s="1432">
        <f t="shared" si="5"/>
        <v>0</v>
      </c>
      <c r="G211" s="5"/>
      <c r="H211" s="1413"/>
      <c r="I211" s="1413"/>
      <c r="J211" s="1414"/>
    </row>
    <row r="212" spans="1:11" ht="13.5" customHeight="1" x14ac:dyDescent="0.25">
      <c r="A212" s="1557">
        <v>3.15</v>
      </c>
      <c r="B212" s="1524" t="s">
        <v>1327</v>
      </c>
      <c r="C212" s="1639">
        <v>1</v>
      </c>
      <c r="D212" s="1642" t="s">
        <v>8</v>
      </c>
      <c r="E212" s="1440"/>
      <c r="F212" s="1432">
        <f t="shared" si="5"/>
        <v>0</v>
      </c>
      <c r="G212" s="5"/>
      <c r="H212" s="1413"/>
      <c r="I212" s="1414"/>
      <c r="J212" s="1414"/>
    </row>
    <row r="213" spans="1:11" x14ac:dyDescent="0.25">
      <c r="A213" s="1557">
        <v>3.16</v>
      </c>
      <c r="B213" s="1524" t="s">
        <v>1326</v>
      </c>
      <c r="C213" s="1639">
        <v>1</v>
      </c>
      <c r="D213" s="1642" t="s">
        <v>8</v>
      </c>
      <c r="E213" s="1446"/>
      <c r="F213" s="1432">
        <f t="shared" si="5"/>
        <v>0</v>
      </c>
      <c r="G213" s="5"/>
      <c r="H213" s="1413"/>
      <c r="I213" s="1414"/>
      <c r="J213" s="1414"/>
    </row>
    <row r="214" spans="1:11" x14ac:dyDescent="0.25">
      <c r="A214" s="1557">
        <v>3.17</v>
      </c>
      <c r="B214" s="1558" t="s">
        <v>59</v>
      </c>
      <c r="C214" s="1639">
        <v>1</v>
      </c>
      <c r="D214" s="1642" t="s">
        <v>8</v>
      </c>
      <c r="E214" s="11"/>
      <c r="F214" s="1432">
        <f t="shared" si="5"/>
        <v>0</v>
      </c>
      <c r="G214" s="5"/>
      <c r="H214" s="1413"/>
      <c r="I214" s="1414"/>
      <c r="J214" s="1414"/>
    </row>
    <row r="215" spans="1:11" ht="11.25" customHeight="1" x14ac:dyDescent="0.25">
      <c r="A215" s="1557">
        <v>3.18</v>
      </c>
      <c r="B215" s="1558" t="s">
        <v>82</v>
      </c>
      <c r="C215" s="1639">
        <v>1</v>
      </c>
      <c r="D215" s="1642" t="s">
        <v>8</v>
      </c>
      <c r="E215" s="11"/>
      <c r="F215" s="1432">
        <f t="shared" si="5"/>
        <v>0</v>
      </c>
      <c r="G215" s="5"/>
      <c r="H215" s="1413"/>
      <c r="I215" s="1414"/>
      <c r="J215" s="1414"/>
    </row>
    <row r="216" spans="1:11" x14ac:dyDescent="0.25">
      <c r="A216" s="1557">
        <v>3.19</v>
      </c>
      <c r="B216" s="1524" t="s">
        <v>61</v>
      </c>
      <c r="C216" s="1639">
        <v>1</v>
      </c>
      <c r="D216" s="1541" t="s">
        <v>8</v>
      </c>
      <c r="E216" s="1440"/>
      <c r="F216" s="1432">
        <f t="shared" si="5"/>
        <v>0</v>
      </c>
      <c r="G216" s="5"/>
      <c r="H216" s="1413"/>
      <c r="I216" s="1414"/>
      <c r="J216" s="1414"/>
    </row>
    <row r="217" spans="1:11" x14ac:dyDescent="0.25">
      <c r="A217" s="1557">
        <v>3.2</v>
      </c>
      <c r="B217" s="1524" t="s">
        <v>62</v>
      </c>
      <c r="C217" s="1639">
        <v>2</v>
      </c>
      <c r="D217" s="1642" t="s">
        <v>8</v>
      </c>
      <c r="E217" s="1440"/>
      <c r="F217" s="1432">
        <f t="shared" si="5"/>
        <v>0</v>
      </c>
      <c r="G217" s="5"/>
      <c r="H217" s="1413"/>
      <c r="I217" s="1415"/>
      <c r="J217" s="1415"/>
      <c r="K217" s="6"/>
    </row>
    <row r="218" spans="1:11" x14ac:dyDescent="0.25">
      <c r="A218" s="1557">
        <v>3.21</v>
      </c>
      <c r="B218" s="1524" t="s">
        <v>63</v>
      </c>
      <c r="C218" s="7">
        <v>1</v>
      </c>
      <c r="D218" s="1541" t="s">
        <v>8</v>
      </c>
      <c r="E218" s="1440"/>
      <c r="F218" s="1432">
        <f t="shared" si="5"/>
        <v>0</v>
      </c>
      <c r="G218" s="5"/>
      <c r="H218" s="1413"/>
      <c r="I218" s="1415"/>
      <c r="J218" s="1415"/>
      <c r="K218" s="6"/>
    </row>
    <row r="219" spans="1:11" x14ac:dyDescent="0.25">
      <c r="A219" s="1557">
        <v>3.22</v>
      </c>
      <c r="B219" s="1524" t="s">
        <v>64</v>
      </c>
      <c r="C219" s="1639">
        <v>1</v>
      </c>
      <c r="D219" s="1642" t="s">
        <v>8</v>
      </c>
      <c r="E219" s="1440"/>
      <c r="F219" s="1432">
        <f t="shared" si="5"/>
        <v>0</v>
      </c>
      <c r="G219" s="5"/>
      <c r="H219" s="1413"/>
      <c r="I219" s="1415"/>
      <c r="J219" s="1415"/>
      <c r="K219" s="6"/>
    </row>
    <row r="220" spans="1:11" ht="25.5" x14ac:dyDescent="0.25">
      <c r="A220" s="1557">
        <v>3.23</v>
      </c>
      <c r="B220" s="1524" t="s">
        <v>65</v>
      </c>
      <c r="C220" s="7">
        <v>1</v>
      </c>
      <c r="D220" s="1541" t="s">
        <v>8</v>
      </c>
      <c r="E220" s="1440"/>
      <c r="F220" s="1432">
        <f t="shared" si="5"/>
        <v>0</v>
      </c>
      <c r="G220" s="5"/>
      <c r="H220" s="1413"/>
      <c r="I220" s="1415"/>
      <c r="J220" s="1414"/>
    </row>
    <row r="221" spans="1:11" ht="12.75" customHeight="1" x14ac:dyDescent="0.25">
      <c r="A221" s="1559">
        <v>4</v>
      </c>
      <c r="B221" s="1543" t="s">
        <v>66</v>
      </c>
      <c r="C221" s="7"/>
      <c r="D221" s="1541"/>
      <c r="E221" s="1440"/>
      <c r="F221" s="1432">
        <f t="shared" si="5"/>
        <v>0</v>
      </c>
      <c r="G221" s="5"/>
      <c r="H221" s="1413"/>
      <c r="I221" s="1414"/>
      <c r="J221" s="1414"/>
    </row>
    <row r="222" spans="1:11" ht="13.5" customHeight="1" x14ac:dyDescent="0.25">
      <c r="A222" s="1560">
        <v>4.0999999999999996</v>
      </c>
      <c r="B222" s="1561" t="s">
        <v>114</v>
      </c>
      <c r="C222" s="9"/>
      <c r="D222" s="1556"/>
      <c r="E222" s="1445"/>
      <c r="F222" s="1432">
        <f t="shared" si="5"/>
        <v>0</v>
      </c>
      <c r="G222" s="5"/>
      <c r="H222" s="1413"/>
      <c r="I222" s="1414"/>
      <c r="J222" s="1414"/>
    </row>
    <row r="223" spans="1:11" s="43" customFormat="1" x14ac:dyDescent="0.2">
      <c r="A223" s="41" t="s">
        <v>115</v>
      </c>
      <c r="B223" s="1562" t="s">
        <v>117</v>
      </c>
      <c r="C223" s="1563"/>
      <c r="D223" s="1564"/>
      <c r="E223" s="1447"/>
      <c r="F223" s="1432">
        <f t="shared" si="5"/>
        <v>0</v>
      </c>
      <c r="G223" s="5"/>
    </row>
    <row r="224" spans="1:11" s="43" customFormat="1" ht="14.25" x14ac:dyDescent="0.2">
      <c r="A224" s="44" t="s">
        <v>133</v>
      </c>
      <c r="B224" s="1565" t="s">
        <v>118</v>
      </c>
      <c r="C224" s="1563">
        <v>9.1800000000000015</v>
      </c>
      <c r="D224" s="1564" t="s">
        <v>1339</v>
      </c>
      <c r="E224" s="1449"/>
      <c r="F224" s="1432">
        <f t="shared" si="5"/>
        <v>0</v>
      </c>
      <c r="G224" s="5"/>
    </row>
    <row r="225" spans="1:9" s="43" customFormat="1" ht="14.25" x14ac:dyDescent="0.2">
      <c r="A225" s="44" t="s">
        <v>134</v>
      </c>
      <c r="B225" s="1565" t="s">
        <v>119</v>
      </c>
      <c r="C225" s="1563">
        <v>4.7</v>
      </c>
      <c r="D225" s="1564" t="s">
        <v>1339</v>
      </c>
      <c r="E225" s="1449"/>
      <c r="F225" s="1432">
        <f t="shared" si="5"/>
        <v>0</v>
      </c>
      <c r="G225" s="5"/>
    </row>
    <row r="226" spans="1:9" s="43" customFormat="1" ht="14.25" x14ac:dyDescent="0.2">
      <c r="A226" s="44" t="s">
        <v>135</v>
      </c>
      <c r="B226" s="1565" t="s">
        <v>120</v>
      </c>
      <c r="C226" s="1563">
        <v>5.82</v>
      </c>
      <c r="D226" s="1564" t="s">
        <v>1339</v>
      </c>
      <c r="E226" s="1449"/>
      <c r="F226" s="1432">
        <f t="shared" si="5"/>
        <v>0</v>
      </c>
      <c r="G226" s="5"/>
    </row>
    <row r="227" spans="1:9" s="43" customFormat="1" x14ac:dyDescent="0.2">
      <c r="A227" s="44"/>
      <c r="B227" s="1565"/>
      <c r="C227" s="1563"/>
      <c r="D227" s="1564"/>
      <c r="E227" s="1447"/>
      <c r="F227" s="1432">
        <f t="shared" si="5"/>
        <v>0</v>
      </c>
      <c r="G227" s="5"/>
    </row>
    <row r="228" spans="1:9" s="43" customFormat="1" x14ac:dyDescent="0.2">
      <c r="A228" s="41" t="s">
        <v>116</v>
      </c>
      <c r="B228" s="1562" t="s">
        <v>121</v>
      </c>
      <c r="C228" s="1563"/>
      <c r="D228" s="1564"/>
      <c r="E228" s="1447"/>
      <c r="F228" s="1432">
        <f t="shared" si="5"/>
        <v>0</v>
      </c>
      <c r="G228" s="5"/>
    </row>
    <row r="229" spans="1:9" s="43" customFormat="1" ht="25.5" x14ac:dyDescent="0.2">
      <c r="A229" s="44" t="s">
        <v>136</v>
      </c>
      <c r="B229" s="1566" t="s">
        <v>1301</v>
      </c>
      <c r="C229" s="1570">
        <v>1.9800000000000002</v>
      </c>
      <c r="D229" s="1571" t="s">
        <v>1339</v>
      </c>
      <c r="E229" s="1449"/>
      <c r="F229" s="1432">
        <f t="shared" si="5"/>
        <v>0</v>
      </c>
      <c r="G229" s="5"/>
      <c r="H229" s="48"/>
      <c r="I229" s="48"/>
    </row>
    <row r="230" spans="1:9" s="43" customFormat="1" ht="25.5" x14ac:dyDescent="0.2">
      <c r="A230" s="44" t="s">
        <v>137</v>
      </c>
      <c r="B230" s="1566" t="s">
        <v>1302</v>
      </c>
      <c r="C230" s="1570">
        <v>0.72</v>
      </c>
      <c r="D230" s="1571" t="s">
        <v>1339</v>
      </c>
      <c r="E230" s="1449"/>
      <c r="F230" s="1432">
        <f t="shared" si="5"/>
        <v>0</v>
      </c>
      <c r="G230" s="5"/>
      <c r="H230" s="48"/>
      <c r="I230" s="48"/>
    </row>
    <row r="231" spans="1:9" s="43" customFormat="1" ht="25.5" x14ac:dyDescent="0.2">
      <c r="A231" s="44" t="s">
        <v>138</v>
      </c>
      <c r="B231" s="1569" t="s">
        <v>1303</v>
      </c>
      <c r="C231" s="1570">
        <v>0.96000000000000019</v>
      </c>
      <c r="D231" s="1571" t="s">
        <v>1339</v>
      </c>
      <c r="E231" s="1449"/>
      <c r="F231" s="1432">
        <f t="shared" si="5"/>
        <v>0</v>
      </c>
      <c r="G231" s="5"/>
      <c r="H231" s="48"/>
    </row>
    <row r="232" spans="1:9" s="43" customFormat="1" ht="25.5" x14ac:dyDescent="0.2">
      <c r="A232" s="44" t="s">
        <v>139</v>
      </c>
      <c r="B232" s="1569" t="s">
        <v>1304</v>
      </c>
      <c r="C232" s="1570">
        <v>0.91</v>
      </c>
      <c r="D232" s="1571" t="s">
        <v>1339</v>
      </c>
      <c r="E232" s="1449"/>
      <c r="F232" s="1432">
        <f t="shared" si="5"/>
        <v>0</v>
      </c>
      <c r="G232" s="5"/>
      <c r="H232" s="48"/>
    </row>
    <row r="233" spans="1:9" s="43" customFormat="1" ht="25.5" x14ac:dyDescent="0.2">
      <c r="A233" s="44" t="s">
        <v>140</v>
      </c>
      <c r="B233" s="1569" t="s">
        <v>1305</v>
      </c>
      <c r="C233" s="1570">
        <v>1.2800000000000002</v>
      </c>
      <c r="D233" s="1571" t="s">
        <v>1339</v>
      </c>
      <c r="E233" s="1449"/>
      <c r="F233" s="1432">
        <f t="shared" si="5"/>
        <v>0</v>
      </c>
      <c r="G233" s="5"/>
      <c r="H233" s="48"/>
    </row>
    <row r="234" spans="1:9" s="43" customFormat="1" ht="25.5" x14ac:dyDescent="0.2">
      <c r="A234" s="44" t="s">
        <v>141</v>
      </c>
      <c r="B234" s="1569" t="s">
        <v>1306</v>
      </c>
      <c r="C234" s="1567">
        <v>0.34</v>
      </c>
      <c r="D234" s="1571" t="s">
        <v>1339</v>
      </c>
      <c r="E234" s="1448"/>
      <c r="F234" s="1432">
        <f t="shared" si="5"/>
        <v>0</v>
      </c>
      <c r="G234" s="5"/>
      <c r="H234" s="48"/>
    </row>
    <row r="235" spans="1:9" s="43" customFormat="1" x14ac:dyDescent="0.2">
      <c r="A235" s="1396"/>
      <c r="B235" s="1573"/>
      <c r="C235" s="1574"/>
      <c r="D235" s="1575"/>
      <c r="E235" s="1466"/>
      <c r="F235" s="1432">
        <f t="shared" si="5"/>
        <v>0</v>
      </c>
      <c r="G235" s="5"/>
    </row>
    <row r="236" spans="1:9" s="43" customFormat="1" x14ac:dyDescent="0.2">
      <c r="A236" s="41" t="s">
        <v>142</v>
      </c>
      <c r="B236" s="1572" t="s">
        <v>122</v>
      </c>
      <c r="C236" s="1570"/>
      <c r="D236" s="1571"/>
      <c r="E236" s="1449"/>
      <c r="F236" s="1432">
        <f t="shared" si="5"/>
        <v>0</v>
      </c>
      <c r="G236" s="5"/>
    </row>
    <row r="237" spans="1:9" s="43" customFormat="1" ht="14.25" x14ac:dyDescent="0.2">
      <c r="A237" s="44" t="s">
        <v>143</v>
      </c>
      <c r="B237" s="1569" t="s">
        <v>123</v>
      </c>
      <c r="C237" s="1570">
        <v>12.16</v>
      </c>
      <c r="D237" s="1571" t="s">
        <v>1340</v>
      </c>
      <c r="E237" s="1449"/>
      <c r="F237" s="1432">
        <f t="shared" si="5"/>
        <v>0</v>
      </c>
      <c r="G237" s="5"/>
      <c r="H237" s="48"/>
    </row>
    <row r="238" spans="1:9" s="43" customFormat="1" ht="14.25" x14ac:dyDescent="0.2">
      <c r="A238" s="44" t="s">
        <v>144</v>
      </c>
      <c r="B238" s="1569" t="s">
        <v>125</v>
      </c>
      <c r="C238" s="1570">
        <v>72.959999999999994</v>
      </c>
      <c r="D238" s="1571" t="s">
        <v>1340</v>
      </c>
      <c r="E238" s="1449"/>
      <c r="F238" s="1432">
        <f t="shared" si="5"/>
        <v>0</v>
      </c>
      <c r="G238" s="5"/>
      <c r="H238" s="48"/>
      <c r="I238" s="1416"/>
    </row>
    <row r="239" spans="1:9" s="43" customFormat="1" x14ac:dyDescent="0.2">
      <c r="A239" s="1400"/>
      <c r="B239" s="1569"/>
      <c r="C239" s="1643"/>
      <c r="D239" s="1571"/>
      <c r="E239" s="1449"/>
      <c r="F239" s="1432">
        <f t="shared" si="5"/>
        <v>0</v>
      </c>
      <c r="G239" s="5"/>
    </row>
    <row r="240" spans="1:9" s="43" customFormat="1" x14ac:dyDescent="0.2">
      <c r="A240" s="41" t="s">
        <v>145</v>
      </c>
      <c r="B240" s="1572" t="s">
        <v>1299</v>
      </c>
      <c r="C240" s="1570"/>
      <c r="D240" s="1571"/>
      <c r="E240" s="1449"/>
      <c r="F240" s="1432">
        <f t="shared" si="5"/>
        <v>0</v>
      </c>
      <c r="G240" s="5"/>
    </row>
    <row r="241" spans="1:17" s="43" customFormat="1" ht="14.25" x14ac:dyDescent="0.2">
      <c r="A241" s="44" t="s">
        <v>146</v>
      </c>
      <c r="B241" s="1569" t="s">
        <v>126</v>
      </c>
      <c r="C241" s="1570">
        <v>30.4</v>
      </c>
      <c r="D241" s="1571" t="s">
        <v>1340</v>
      </c>
      <c r="E241" s="1449"/>
      <c r="F241" s="1432">
        <f t="shared" si="5"/>
        <v>0</v>
      </c>
      <c r="G241" s="5"/>
      <c r="H241" s="48"/>
    </row>
    <row r="242" spans="1:17" s="43" customFormat="1" x14ac:dyDescent="0.2">
      <c r="A242" s="44" t="s">
        <v>147</v>
      </c>
      <c r="B242" s="1569" t="s">
        <v>127</v>
      </c>
      <c r="C242" s="1570">
        <v>172.8</v>
      </c>
      <c r="D242" s="1571" t="s">
        <v>128</v>
      </c>
      <c r="E242" s="1449"/>
      <c r="F242" s="1432">
        <f t="shared" si="5"/>
        <v>0</v>
      </c>
      <c r="G242" s="5"/>
      <c r="H242" s="48"/>
    </row>
    <row r="243" spans="1:17" s="43" customFormat="1" x14ac:dyDescent="0.2">
      <c r="A243" s="41"/>
      <c r="B243" s="1562"/>
      <c r="C243" s="1563"/>
      <c r="D243" s="1564"/>
      <c r="E243" s="1447"/>
      <c r="F243" s="1432">
        <f t="shared" si="5"/>
        <v>0</v>
      </c>
      <c r="G243" s="5"/>
    </row>
    <row r="244" spans="1:17" s="43" customFormat="1" x14ac:dyDescent="0.2">
      <c r="A244" s="41" t="s">
        <v>148</v>
      </c>
      <c r="B244" s="1562" t="s">
        <v>129</v>
      </c>
      <c r="C244" s="1563"/>
      <c r="D244" s="1564"/>
      <c r="E244" s="1447"/>
      <c r="F244" s="1432">
        <f t="shared" si="5"/>
        <v>0</v>
      </c>
      <c r="G244" s="5"/>
    </row>
    <row r="245" spans="1:17" s="47" customFormat="1" ht="15" x14ac:dyDescent="0.2">
      <c r="A245" s="44" t="s">
        <v>149</v>
      </c>
      <c r="B245" s="1576" t="s">
        <v>1348</v>
      </c>
      <c r="C245" s="1563">
        <v>30.4</v>
      </c>
      <c r="D245" s="1564" t="s">
        <v>1340</v>
      </c>
      <c r="E245" s="46"/>
      <c r="F245" s="1432">
        <f t="shared" si="5"/>
        <v>0</v>
      </c>
      <c r="G245" s="5"/>
      <c r="H245" s="1417"/>
      <c r="I245" s="1418"/>
      <c r="J245" s="1418"/>
    </row>
    <row r="246" spans="1:17" s="43" customFormat="1" ht="25.5" x14ac:dyDescent="0.2">
      <c r="A246" s="44" t="s">
        <v>150</v>
      </c>
      <c r="B246" s="1569" t="s">
        <v>1349</v>
      </c>
      <c r="C246" s="1563">
        <v>30.4</v>
      </c>
      <c r="D246" s="1564" t="s">
        <v>1340</v>
      </c>
      <c r="E246" s="46"/>
      <c r="F246" s="1432">
        <f t="shared" si="5"/>
        <v>0</v>
      </c>
      <c r="G246" s="5"/>
      <c r="H246" s="1417"/>
      <c r="I246" s="1418"/>
    </row>
    <row r="247" spans="1:17" s="43" customFormat="1" x14ac:dyDescent="0.2">
      <c r="A247" s="44"/>
      <c r="B247" s="1565"/>
      <c r="C247" s="1563"/>
      <c r="D247" s="1564"/>
      <c r="E247" s="1447"/>
      <c r="F247" s="1432">
        <f t="shared" si="5"/>
        <v>0</v>
      </c>
      <c r="G247" s="5"/>
    </row>
    <row r="248" spans="1:17" s="43" customFormat="1" ht="25.5" x14ac:dyDescent="0.2">
      <c r="A248" s="41" t="s">
        <v>151</v>
      </c>
      <c r="B248" s="1562" t="s">
        <v>130</v>
      </c>
      <c r="C248" s="1579">
        <v>32</v>
      </c>
      <c r="D248" s="1580" t="s">
        <v>128</v>
      </c>
      <c r="E248" s="1451"/>
      <c r="F248" s="1432">
        <f t="shared" si="5"/>
        <v>0</v>
      </c>
      <c r="G248" s="5"/>
      <c r="I248" s="48"/>
      <c r="J248" s="1412"/>
    </row>
    <row r="249" spans="1:17" s="50" customFormat="1" x14ac:dyDescent="0.2">
      <c r="A249" s="49"/>
      <c r="B249" s="1581"/>
      <c r="C249" s="1582"/>
      <c r="D249" s="1583"/>
      <c r="E249" s="1452"/>
      <c r="F249" s="1432">
        <f t="shared" si="5"/>
        <v>0</v>
      </c>
      <c r="G249" s="5"/>
    </row>
    <row r="250" spans="1:17" s="43" customFormat="1" ht="25.5" x14ac:dyDescent="0.2">
      <c r="A250" s="41" t="s">
        <v>152</v>
      </c>
      <c r="B250" s="1565" t="s">
        <v>1362</v>
      </c>
      <c r="C250" s="7">
        <v>1</v>
      </c>
      <c r="D250" s="1584" t="s">
        <v>132</v>
      </c>
      <c r="E250" s="1453"/>
      <c r="F250" s="1432">
        <f t="shared" si="5"/>
        <v>0</v>
      </c>
      <c r="G250" s="5"/>
    </row>
    <row r="251" spans="1:17" s="43" customFormat="1" x14ac:dyDescent="0.2">
      <c r="A251" s="45"/>
      <c r="B251" s="1565"/>
      <c r="C251" s="7"/>
      <c r="D251" s="1584"/>
      <c r="E251" s="1453"/>
      <c r="F251" s="1432">
        <f t="shared" si="5"/>
        <v>0</v>
      </c>
      <c r="G251" s="5"/>
    </row>
    <row r="252" spans="1:17" ht="12.75" customHeight="1" x14ac:dyDescent="0.25">
      <c r="A252" s="51">
        <v>4.2</v>
      </c>
      <c r="B252" s="1585" t="s">
        <v>153</v>
      </c>
      <c r="C252" s="9"/>
      <c r="D252" s="1556"/>
      <c r="E252" s="1445"/>
      <c r="F252" s="1432">
        <f t="shared" si="5"/>
        <v>0</v>
      </c>
      <c r="G252" s="5"/>
      <c r="H252" s="1413"/>
      <c r="I252" s="1414"/>
      <c r="J252" s="1413"/>
      <c r="K252" s="5"/>
    </row>
    <row r="253" spans="1:17" ht="12.75" customHeight="1" x14ac:dyDescent="0.25">
      <c r="A253" s="51"/>
      <c r="B253" s="1585"/>
      <c r="C253" s="9"/>
      <c r="D253" s="1556"/>
      <c r="E253" s="1445"/>
      <c r="F253" s="1432">
        <f t="shared" si="5"/>
        <v>0</v>
      </c>
      <c r="G253" s="5"/>
      <c r="H253" s="1413"/>
      <c r="I253" s="1414"/>
      <c r="J253" s="1413"/>
      <c r="K253" s="5"/>
    </row>
    <row r="254" spans="1:17" s="56" customFormat="1" x14ac:dyDescent="0.2">
      <c r="A254" s="1586" t="s">
        <v>188</v>
      </c>
      <c r="B254" s="1587" t="s">
        <v>154</v>
      </c>
      <c r="C254" s="1588">
        <v>1</v>
      </c>
      <c r="D254" s="1589" t="s">
        <v>155</v>
      </c>
      <c r="E254" s="1454"/>
      <c r="F254" s="1432">
        <f t="shared" si="5"/>
        <v>0</v>
      </c>
      <c r="G254" s="52"/>
      <c r="H254" s="63"/>
      <c r="I254" s="53"/>
      <c r="J254" s="53"/>
      <c r="K254" s="53"/>
      <c r="L254" s="53"/>
      <c r="M254" s="53"/>
      <c r="N254" s="55"/>
      <c r="O254" s="55"/>
      <c r="P254" s="55"/>
      <c r="Q254" s="55"/>
    </row>
    <row r="255" spans="1:17" s="56" customFormat="1" x14ac:dyDescent="0.2">
      <c r="A255" s="1590"/>
      <c r="B255" s="1587"/>
      <c r="C255" s="1588"/>
      <c r="D255" s="1589"/>
      <c r="E255" s="1455"/>
      <c r="F255" s="1432">
        <f t="shared" si="5"/>
        <v>0</v>
      </c>
      <c r="G255" s="52"/>
      <c r="H255" s="63"/>
      <c r="I255" s="53"/>
      <c r="J255" s="53"/>
      <c r="K255" s="53"/>
      <c r="L255" s="53"/>
      <c r="M255" s="53"/>
      <c r="N255" s="55"/>
      <c r="O255" s="55"/>
      <c r="P255" s="55"/>
      <c r="Q255" s="55"/>
    </row>
    <row r="256" spans="1:17" s="56" customFormat="1" ht="38.25" x14ac:dyDescent="0.2">
      <c r="A256" s="1586" t="s">
        <v>189</v>
      </c>
      <c r="B256" s="1626" t="s">
        <v>1342</v>
      </c>
      <c r="C256" s="1606">
        <v>1</v>
      </c>
      <c r="D256" s="1607" t="s">
        <v>132</v>
      </c>
      <c r="E256" s="1460"/>
      <c r="F256" s="1432">
        <f t="shared" si="5"/>
        <v>0</v>
      </c>
      <c r="G256" s="52"/>
      <c r="H256" s="63"/>
      <c r="I256" s="53"/>
      <c r="J256" s="53"/>
      <c r="K256" s="53"/>
      <c r="L256" s="53"/>
      <c r="M256" s="53"/>
      <c r="N256" s="55"/>
      <c r="O256" s="55"/>
      <c r="P256" s="55"/>
      <c r="Q256" s="55"/>
    </row>
    <row r="257" spans="1:17" s="56" customFormat="1" x14ac:dyDescent="0.2">
      <c r="A257" s="1644"/>
      <c r="B257" s="1597"/>
      <c r="C257" s="1598"/>
      <c r="D257" s="1600"/>
      <c r="E257" s="1458"/>
      <c r="F257" s="1432">
        <f t="shared" si="5"/>
        <v>0</v>
      </c>
      <c r="G257" s="52"/>
      <c r="H257" s="63"/>
      <c r="I257" s="53"/>
      <c r="J257" s="53"/>
      <c r="K257" s="53"/>
      <c r="L257" s="53"/>
      <c r="M257" s="53"/>
      <c r="N257" s="55"/>
      <c r="O257" s="55"/>
      <c r="P257" s="55"/>
      <c r="Q257" s="55"/>
    </row>
    <row r="258" spans="1:17" s="56" customFormat="1" x14ac:dyDescent="0.2">
      <c r="A258" s="1645" t="s">
        <v>191</v>
      </c>
      <c r="B258" s="1601" t="s">
        <v>1298</v>
      </c>
      <c r="C258" s="1598"/>
      <c r="D258" s="1600"/>
      <c r="E258" s="1458"/>
      <c r="F258" s="1432">
        <f t="shared" si="5"/>
        <v>0</v>
      </c>
      <c r="G258" s="52"/>
      <c r="H258" s="63"/>
      <c r="I258" s="53"/>
      <c r="J258" s="53"/>
      <c r="K258" s="53"/>
      <c r="L258" s="53"/>
      <c r="M258" s="53"/>
      <c r="N258" s="55"/>
      <c r="O258" s="55"/>
      <c r="P258" s="55"/>
      <c r="Q258" s="55"/>
    </row>
    <row r="259" spans="1:17" s="56" customFormat="1" ht="14.25" x14ac:dyDescent="0.2">
      <c r="A259" s="1596" t="s">
        <v>192</v>
      </c>
      <c r="B259" s="1597" t="s">
        <v>156</v>
      </c>
      <c r="C259" s="1598">
        <v>1.45</v>
      </c>
      <c r="D259" s="1571" t="s">
        <v>1339</v>
      </c>
      <c r="E259" s="1457"/>
      <c r="F259" s="1432">
        <f t="shared" si="5"/>
        <v>0</v>
      </c>
      <c r="G259" s="52"/>
      <c r="H259" s="63"/>
      <c r="I259" s="53"/>
      <c r="J259" s="1407"/>
      <c r="K259" s="53"/>
      <c r="L259" s="53"/>
      <c r="M259" s="53"/>
      <c r="N259" s="55"/>
      <c r="O259" s="55"/>
      <c r="P259" s="55"/>
      <c r="Q259" s="55"/>
    </row>
    <row r="260" spans="1:17" s="56" customFormat="1" ht="25.5" x14ac:dyDescent="0.2">
      <c r="A260" s="1596" t="s">
        <v>193</v>
      </c>
      <c r="B260" s="1591" t="s">
        <v>157</v>
      </c>
      <c r="C260" s="1592">
        <v>0.32</v>
      </c>
      <c r="D260" s="1571" t="s">
        <v>1339</v>
      </c>
      <c r="E260" s="1456"/>
      <c r="F260" s="1432">
        <f t="shared" si="5"/>
        <v>0</v>
      </c>
      <c r="G260" s="52"/>
      <c r="H260" s="64"/>
      <c r="I260" s="57"/>
      <c r="J260" s="58"/>
      <c r="K260" s="57"/>
      <c r="L260" s="53"/>
      <c r="M260" s="53"/>
      <c r="N260" s="55"/>
      <c r="O260" s="55"/>
      <c r="P260" s="55"/>
      <c r="Q260" s="55"/>
    </row>
    <row r="261" spans="1:17" s="56" customFormat="1" ht="25.5" x14ac:dyDescent="0.2">
      <c r="A261" s="1596" t="s">
        <v>194</v>
      </c>
      <c r="B261" s="1591" t="s">
        <v>158</v>
      </c>
      <c r="C261" s="1592">
        <v>0.18</v>
      </c>
      <c r="D261" s="1571" t="s">
        <v>1339</v>
      </c>
      <c r="E261" s="1456"/>
      <c r="F261" s="1432">
        <f t="shared" si="5"/>
        <v>0</v>
      </c>
      <c r="G261" s="52"/>
      <c r="H261" s="64"/>
      <c r="I261" s="57"/>
      <c r="J261" s="1407"/>
      <c r="K261" s="57"/>
      <c r="L261" s="53"/>
      <c r="M261" s="53"/>
      <c r="N261" s="55"/>
      <c r="O261" s="55"/>
      <c r="P261" s="55"/>
      <c r="Q261" s="55"/>
    </row>
    <row r="262" spans="1:17" s="60" customFormat="1" ht="14.25" x14ac:dyDescent="0.2">
      <c r="A262" s="1596" t="s">
        <v>195</v>
      </c>
      <c r="B262" s="1599" t="s">
        <v>159</v>
      </c>
      <c r="C262" s="1592">
        <v>0.11</v>
      </c>
      <c r="D262" s="1571" t="s">
        <v>1339</v>
      </c>
      <c r="E262" s="1456"/>
      <c r="F262" s="1432">
        <f t="shared" si="5"/>
        <v>0</v>
      </c>
      <c r="G262" s="52"/>
      <c r="H262" s="63"/>
      <c r="I262" s="53"/>
      <c r="J262" s="1407"/>
      <c r="K262" s="53"/>
      <c r="L262" s="57"/>
      <c r="M262" s="57"/>
      <c r="N262" s="59"/>
      <c r="O262" s="59"/>
      <c r="P262" s="59"/>
      <c r="Q262" s="59"/>
    </row>
    <row r="263" spans="1:17" s="60" customFormat="1" ht="14.25" x14ac:dyDescent="0.2">
      <c r="A263" s="1596" t="s">
        <v>196</v>
      </c>
      <c r="B263" s="1599" t="s">
        <v>160</v>
      </c>
      <c r="C263" s="1592">
        <v>0.06</v>
      </c>
      <c r="D263" s="1571" t="s">
        <v>1339</v>
      </c>
      <c r="E263" s="1456"/>
      <c r="F263" s="1432">
        <f t="shared" si="5"/>
        <v>0</v>
      </c>
      <c r="G263" s="52"/>
      <c r="H263" s="63"/>
      <c r="I263" s="53"/>
      <c r="J263" s="1408"/>
      <c r="K263" s="53"/>
      <c r="L263" s="57"/>
      <c r="M263" s="57"/>
      <c r="N263" s="59"/>
      <c r="O263" s="59"/>
      <c r="P263" s="59"/>
      <c r="Q263" s="59"/>
    </row>
    <row r="264" spans="1:17" s="54" customFormat="1" ht="14.25" x14ac:dyDescent="0.2">
      <c r="A264" s="1596" t="s">
        <v>197</v>
      </c>
      <c r="B264" s="1591" t="s">
        <v>161</v>
      </c>
      <c r="C264" s="1598">
        <v>0.12</v>
      </c>
      <c r="D264" s="1571" t="s">
        <v>1339</v>
      </c>
      <c r="E264" s="1457"/>
      <c r="F264" s="1432">
        <f t="shared" si="5"/>
        <v>0</v>
      </c>
      <c r="G264" s="52"/>
      <c r="H264" s="63"/>
      <c r="I264" s="53"/>
      <c r="J264" s="1408"/>
      <c r="K264" s="53"/>
      <c r="L264" s="53"/>
      <c r="M264" s="53"/>
      <c r="N264" s="53"/>
      <c r="O264" s="53"/>
      <c r="P264" s="53"/>
      <c r="Q264" s="53"/>
    </row>
    <row r="265" spans="1:17" s="56" customFormat="1" ht="14.25" x14ac:dyDescent="0.2">
      <c r="A265" s="1596" t="s">
        <v>198</v>
      </c>
      <c r="B265" s="1597" t="s">
        <v>162</v>
      </c>
      <c r="C265" s="1598">
        <v>0.88</v>
      </c>
      <c r="D265" s="1571" t="s">
        <v>1339</v>
      </c>
      <c r="E265" s="1457"/>
      <c r="F265" s="1432">
        <f t="shared" si="5"/>
        <v>0</v>
      </c>
      <c r="G265" s="52"/>
      <c r="H265" s="63"/>
      <c r="I265" s="53"/>
      <c r="J265" s="53"/>
      <c r="K265" s="53"/>
      <c r="L265" s="53"/>
      <c r="M265" s="53"/>
      <c r="N265" s="55"/>
      <c r="O265" s="55"/>
      <c r="P265" s="55"/>
      <c r="Q265" s="55"/>
    </row>
    <row r="266" spans="1:17" s="56" customFormat="1" x14ac:dyDescent="0.2">
      <c r="A266" s="1594"/>
      <c r="B266" s="1597"/>
      <c r="C266" s="1598"/>
      <c r="D266" s="1600"/>
      <c r="E266" s="1457"/>
      <c r="F266" s="1432">
        <f t="shared" si="5"/>
        <v>0</v>
      </c>
      <c r="G266" s="52"/>
      <c r="H266" s="63"/>
      <c r="I266" s="1408"/>
      <c r="J266" s="53"/>
      <c r="K266" s="53"/>
      <c r="L266" s="53"/>
      <c r="M266" s="53"/>
      <c r="N266" s="55"/>
      <c r="O266" s="55"/>
      <c r="P266" s="55"/>
      <c r="Q266" s="55"/>
    </row>
    <row r="267" spans="1:17" s="56" customFormat="1" x14ac:dyDescent="0.2">
      <c r="A267" s="1590" t="s">
        <v>199</v>
      </c>
      <c r="B267" s="1601" t="s">
        <v>163</v>
      </c>
      <c r="C267" s="1598"/>
      <c r="D267" s="1600"/>
      <c r="E267" s="1458"/>
      <c r="F267" s="1432">
        <f t="shared" si="5"/>
        <v>0</v>
      </c>
      <c r="G267" s="52"/>
      <c r="H267" s="63"/>
      <c r="I267" s="1408"/>
      <c r="J267" s="53"/>
      <c r="K267" s="53"/>
      <c r="L267" s="53"/>
      <c r="M267" s="53"/>
      <c r="N267" s="55"/>
      <c r="O267" s="55"/>
      <c r="P267" s="55"/>
      <c r="Q267" s="55"/>
    </row>
    <row r="268" spans="1:17" s="56" customFormat="1" ht="14.25" x14ac:dyDescent="0.2">
      <c r="A268" s="1596" t="s">
        <v>200</v>
      </c>
      <c r="B268" s="1597" t="s">
        <v>164</v>
      </c>
      <c r="C268" s="1598">
        <v>4.82</v>
      </c>
      <c r="D268" s="1571" t="s">
        <v>1340</v>
      </c>
      <c r="E268" s="1457"/>
      <c r="F268" s="1432">
        <f t="shared" si="5"/>
        <v>0</v>
      </c>
      <c r="G268" s="52"/>
      <c r="H268" s="63"/>
      <c r="I268" s="1408"/>
      <c r="J268" s="53"/>
      <c r="K268" s="53"/>
      <c r="L268" s="53"/>
      <c r="M268" s="53"/>
      <c r="N268" s="55"/>
      <c r="O268" s="55"/>
      <c r="P268" s="55"/>
      <c r="Q268" s="55"/>
    </row>
    <row r="269" spans="1:17" s="56" customFormat="1" ht="14.25" x14ac:dyDescent="0.2">
      <c r="A269" s="1596" t="s">
        <v>201</v>
      </c>
      <c r="B269" s="1597" t="s">
        <v>165</v>
      </c>
      <c r="C269" s="1598">
        <v>22.69</v>
      </c>
      <c r="D269" s="1571" t="s">
        <v>1340</v>
      </c>
      <c r="E269" s="1457"/>
      <c r="F269" s="1432">
        <f t="shared" si="5"/>
        <v>0</v>
      </c>
      <c r="G269" s="52"/>
      <c r="H269" s="63"/>
      <c r="I269" s="53"/>
      <c r="J269" s="53"/>
      <c r="K269" s="53"/>
      <c r="L269" s="53"/>
      <c r="M269" s="53"/>
      <c r="N269" s="55"/>
      <c r="O269" s="55"/>
      <c r="P269" s="55"/>
      <c r="Q269" s="55"/>
    </row>
    <row r="270" spans="1:17" s="56" customFormat="1" ht="14.25" x14ac:dyDescent="0.2">
      <c r="A270" s="1596" t="s">
        <v>202</v>
      </c>
      <c r="B270" s="1597" t="s">
        <v>166</v>
      </c>
      <c r="C270" s="1598">
        <v>1.6199999999999999</v>
      </c>
      <c r="D270" s="1571" t="s">
        <v>1340</v>
      </c>
      <c r="E270" s="1457"/>
      <c r="F270" s="1432">
        <f t="shared" si="5"/>
        <v>0</v>
      </c>
      <c r="G270" s="52"/>
      <c r="H270" s="63"/>
      <c r="I270" s="53"/>
      <c r="J270" s="53"/>
      <c r="K270" s="53"/>
      <c r="L270" s="53"/>
      <c r="M270" s="53"/>
      <c r="N270" s="55"/>
      <c r="O270" s="55"/>
      <c r="P270" s="55"/>
      <c r="Q270" s="55"/>
    </row>
    <row r="271" spans="1:17" s="56" customFormat="1" x14ac:dyDescent="0.2">
      <c r="A271" s="1596"/>
      <c r="B271" s="1597"/>
      <c r="C271" s="1598"/>
      <c r="D271" s="1600"/>
      <c r="E271" s="1457"/>
      <c r="F271" s="1432">
        <f t="shared" si="5"/>
        <v>0</v>
      </c>
      <c r="G271" s="52"/>
      <c r="H271" s="63"/>
      <c r="I271" s="1408"/>
      <c r="J271" s="53"/>
      <c r="K271" s="53"/>
      <c r="L271" s="53"/>
      <c r="M271" s="53"/>
      <c r="N271" s="55"/>
      <c r="O271" s="55"/>
      <c r="P271" s="55"/>
      <c r="Q271" s="55"/>
    </row>
    <row r="272" spans="1:17" s="56" customFormat="1" x14ac:dyDescent="0.2">
      <c r="A272" s="1590" t="s">
        <v>203</v>
      </c>
      <c r="B272" s="1601" t="s">
        <v>1299</v>
      </c>
      <c r="C272" s="1598"/>
      <c r="D272" s="1600"/>
      <c r="E272" s="1458"/>
      <c r="F272" s="1432">
        <f t="shared" si="5"/>
        <v>0</v>
      </c>
      <c r="G272" s="52"/>
      <c r="H272" s="63"/>
      <c r="I272" s="1408"/>
      <c r="J272" s="53"/>
      <c r="K272" s="53"/>
      <c r="L272" s="53"/>
      <c r="M272" s="53"/>
      <c r="N272" s="55"/>
      <c r="O272" s="55"/>
      <c r="P272" s="55"/>
      <c r="Q272" s="55"/>
    </row>
    <row r="273" spans="1:17" s="56" customFormat="1" ht="14.25" x14ac:dyDescent="0.2">
      <c r="A273" s="1596" t="s">
        <v>204</v>
      </c>
      <c r="B273" s="1597" t="s">
        <v>167</v>
      </c>
      <c r="C273" s="1598">
        <v>26.04</v>
      </c>
      <c r="D273" s="1571" t="s">
        <v>1340</v>
      </c>
      <c r="E273" s="1457"/>
      <c r="F273" s="1432">
        <f t="shared" si="5"/>
        <v>0</v>
      </c>
      <c r="G273" s="52"/>
      <c r="H273" s="63"/>
      <c r="I273" s="1408"/>
      <c r="J273" s="53"/>
      <c r="K273" s="53"/>
      <c r="L273" s="53"/>
      <c r="M273" s="53"/>
      <c r="N273" s="55"/>
      <c r="O273" s="55"/>
      <c r="P273" s="55"/>
      <c r="Q273" s="55"/>
    </row>
    <row r="274" spans="1:17" s="56" customFormat="1" ht="14.25" x14ac:dyDescent="0.2">
      <c r="A274" s="1596" t="s">
        <v>205</v>
      </c>
      <c r="B274" s="1597" t="s">
        <v>168</v>
      </c>
      <c r="C274" s="1598">
        <v>18.97</v>
      </c>
      <c r="D274" s="1571" t="s">
        <v>1340</v>
      </c>
      <c r="E274" s="1457"/>
      <c r="F274" s="1432">
        <f t="shared" ref="F274:F337" si="6">+E274*C274</f>
        <v>0</v>
      </c>
      <c r="G274" s="52"/>
      <c r="H274" s="63"/>
      <c r="I274" s="1408"/>
      <c r="J274" s="53"/>
      <c r="K274" s="53"/>
      <c r="L274" s="53"/>
      <c r="M274" s="53"/>
      <c r="N274" s="55"/>
      <c r="O274" s="55"/>
      <c r="P274" s="55"/>
      <c r="Q274" s="55"/>
    </row>
    <row r="275" spans="1:17" s="56" customFormat="1" ht="14.25" x14ac:dyDescent="0.2">
      <c r="A275" s="1596" t="s">
        <v>206</v>
      </c>
      <c r="B275" s="1597" t="s">
        <v>169</v>
      </c>
      <c r="C275" s="1598">
        <v>7.42</v>
      </c>
      <c r="D275" s="1571" t="s">
        <v>1340</v>
      </c>
      <c r="E275" s="1457"/>
      <c r="F275" s="1432">
        <f t="shared" si="6"/>
        <v>0</v>
      </c>
      <c r="G275" s="52"/>
      <c r="H275" s="63"/>
      <c r="I275" s="1408"/>
      <c r="J275" s="53"/>
      <c r="K275" s="53"/>
      <c r="L275" s="53"/>
      <c r="M275" s="53"/>
      <c r="N275" s="55"/>
      <c r="O275" s="55"/>
      <c r="P275" s="55"/>
      <c r="Q275" s="55"/>
    </row>
    <row r="276" spans="1:17" s="56" customFormat="1" ht="25.5" x14ac:dyDescent="0.2">
      <c r="A276" s="1596" t="s">
        <v>207</v>
      </c>
      <c r="B276" s="1591" t="s">
        <v>1363</v>
      </c>
      <c r="C276" s="1602">
        <v>46.64</v>
      </c>
      <c r="D276" s="1578" t="s">
        <v>1340</v>
      </c>
      <c r="E276" s="1459"/>
      <c r="F276" s="1432">
        <f t="shared" si="6"/>
        <v>0</v>
      </c>
      <c r="G276" s="52"/>
      <c r="H276" s="63"/>
      <c r="I276" s="1408"/>
      <c r="J276" s="53"/>
      <c r="K276" s="53"/>
      <c r="L276" s="53"/>
      <c r="M276" s="53"/>
      <c r="N276" s="55"/>
      <c r="O276" s="55"/>
      <c r="P276" s="55"/>
      <c r="Q276" s="55"/>
    </row>
    <row r="277" spans="1:17" s="56" customFormat="1" x14ac:dyDescent="0.2">
      <c r="A277" s="1596" t="s">
        <v>208</v>
      </c>
      <c r="B277" s="1597" t="s">
        <v>127</v>
      </c>
      <c r="C277" s="1598">
        <v>35.6</v>
      </c>
      <c r="D277" s="1600" t="s">
        <v>41</v>
      </c>
      <c r="E277" s="1457"/>
      <c r="F277" s="1432">
        <f t="shared" si="6"/>
        <v>0</v>
      </c>
      <c r="G277" s="52"/>
      <c r="H277" s="63"/>
      <c r="I277" s="1408"/>
      <c r="J277" s="53"/>
      <c r="K277" s="53"/>
      <c r="L277" s="53"/>
      <c r="M277" s="53"/>
      <c r="N277" s="55"/>
      <c r="O277" s="55"/>
      <c r="P277" s="55"/>
      <c r="Q277" s="55"/>
    </row>
    <row r="278" spans="1:17" s="56" customFormat="1" x14ac:dyDescent="0.2">
      <c r="A278" s="1596" t="s">
        <v>209</v>
      </c>
      <c r="B278" s="1597" t="s">
        <v>170</v>
      </c>
      <c r="C278" s="1598">
        <v>2.02</v>
      </c>
      <c r="D278" s="1600" t="s">
        <v>41</v>
      </c>
      <c r="E278" s="1457"/>
      <c r="F278" s="1432">
        <f t="shared" si="6"/>
        <v>0</v>
      </c>
      <c r="G278" s="52"/>
      <c r="H278" s="63"/>
      <c r="I278" s="53"/>
      <c r="J278" s="53"/>
      <c r="K278" s="53"/>
      <c r="L278" s="53"/>
      <c r="M278" s="53"/>
      <c r="N278" s="55"/>
      <c r="O278" s="55"/>
      <c r="P278" s="55"/>
      <c r="Q278" s="55"/>
    </row>
    <row r="279" spans="1:17" s="56" customFormat="1" x14ac:dyDescent="0.2">
      <c r="A279" s="1596" t="s">
        <v>1309</v>
      </c>
      <c r="B279" s="1597" t="s">
        <v>1357</v>
      </c>
      <c r="C279" s="1598">
        <v>10.1</v>
      </c>
      <c r="D279" s="1600" t="s">
        <v>41</v>
      </c>
      <c r="E279" s="1457"/>
      <c r="F279" s="1432">
        <f t="shared" si="6"/>
        <v>0</v>
      </c>
      <c r="G279" s="52"/>
      <c r="H279" s="63"/>
      <c r="I279" s="53"/>
      <c r="J279" s="54"/>
      <c r="K279" s="53"/>
      <c r="L279" s="53"/>
      <c r="M279" s="53"/>
      <c r="N279" s="55"/>
      <c r="O279" s="55"/>
      <c r="P279" s="55"/>
      <c r="Q279" s="55"/>
    </row>
    <row r="280" spans="1:17" s="56" customFormat="1" x14ac:dyDescent="0.2">
      <c r="A280" s="1596"/>
      <c r="B280" s="1597"/>
      <c r="C280" s="1598"/>
      <c r="D280" s="1600"/>
      <c r="E280" s="1458"/>
      <c r="F280" s="1432">
        <f t="shared" si="6"/>
        <v>0</v>
      </c>
      <c r="G280" s="52"/>
      <c r="H280" s="63"/>
      <c r="I280" s="53"/>
      <c r="J280" s="54"/>
      <c r="K280" s="53"/>
      <c r="L280" s="53"/>
      <c r="M280" s="53"/>
      <c r="N280" s="55"/>
      <c r="O280" s="55"/>
      <c r="P280" s="55"/>
      <c r="Q280" s="55"/>
    </row>
    <row r="281" spans="1:17" s="56" customFormat="1" ht="38.25" x14ac:dyDescent="0.2">
      <c r="A281" s="1596" t="s">
        <v>210</v>
      </c>
      <c r="B281" s="1591" t="s">
        <v>1350</v>
      </c>
      <c r="C281" s="1602">
        <v>6</v>
      </c>
      <c r="D281" s="1578" t="s">
        <v>1340</v>
      </c>
      <c r="E281" s="1459"/>
      <c r="F281" s="1432">
        <f t="shared" si="6"/>
        <v>0</v>
      </c>
      <c r="G281" s="52"/>
      <c r="H281" s="63"/>
      <c r="I281" s="53"/>
      <c r="J281" s="54"/>
      <c r="K281" s="53"/>
      <c r="L281" s="53"/>
      <c r="M281" s="53"/>
      <c r="N281" s="55"/>
      <c r="O281" s="55"/>
      <c r="P281" s="55"/>
      <c r="Q281" s="55"/>
    </row>
    <row r="282" spans="1:17" s="56" customFormat="1" x14ac:dyDescent="0.2">
      <c r="A282" s="1596"/>
      <c r="B282" s="1597"/>
      <c r="C282" s="1598"/>
      <c r="D282" s="1571"/>
      <c r="E282" s="1457"/>
      <c r="F282" s="1432">
        <f t="shared" si="6"/>
        <v>0</v>
      </c>
      <c r="G282" s="52"/>
      <c r="H282" s="63"/>
      <c r="I282" s="53"/>
      <c r="J282" s="54"/>
      <c r="K282" s="53"/>
      <c r="L282" s="53"/>
      <c r="M282" s="53"/>
      <c r="N282" s="55"/>
      <c r="O282" s="55"/>
      <c r="P282" s="55"/>
      <c r="Q282" s="55"/>
    </row>
    <row r="283" spans="1:17" s="56" customFormat="1" ht="38.25" x14ac:dyDescent="0.2">
      <c r="A283" s="1596" t="s">
        <v>211</v>
      </c>
      <c r="B283" s="1603" t="s">
        <v>1351</v>
      </c>
      <c r="C283" s="1602">
        <v>6.06</v>
      </c>
      <c r="D283" s="1578" t="s">
        <v>1340</v>
      </c>
      <c r="E283" s="1459"/>
      <c r="F283" s="1432">
        <f t="shared" si="6"/>
        <v>0</v>
      </c>
      <c r="G283" s="52"/>
      <c r="L283" s="53"/>
      <c r="M283" s="53"/>
      <c r="N283" s="55"/>
      <c r="O283" s="55"/>
      <c r="P283" s="55"/>
      <c r="Q283" s="55"/>
    </row>
    <row r="284" spans="1:17" s="56" customFormat="1" x14ac:dyDescent="0.2">
      <c r="A284" s="1596"/>
      <c r="B284" s="1597"/>
      <c r="C284" s="1602"/>
      <c r="D284" s="1646"/>
      <c r="E284" s="1459"/>
      <c r="F284" s="1432">
        <f t="shared" si="6"/>
        <v>0</v>
      </c>
      <c r="G284" s="52"/>
      <c r="L284" s="53"/>
      <c r="M284" s="53"/>
      <c r="N284" s="55"/>
      <c r="O284" s="55"/>
      <c r="P284" s="55"/>
      <c r="Q284" s="55"/>
    </row>
    <row r="285" spans="1:17" s="56" customFormat="1" ht="25.5" x14ac:dyDescent="0.2">
      <c r="A285" s="1604" t="s">
        <v>212</v>
      </c>
      <c r="B285" s="1605" t="s">
        <v>171</v>
      </c>
      <c r="C285" s="1606">
        <v>1</v>
      </c>
      <c r="D285" s="1607" t="s">
        <v>8</v>
      </c>
      <c r="E285" s="1460"/>
      <c r="F285" s="1432">
        <f t="shared" si="6"/>
        <v>0</v>
      </c>
      <c r="G285" s="52"/>
      <c r="H285" s="63"/>
      <c r="I285" s="53"/>
      <c r="J285" s="54"/>
      <c r="K285" s="53"/>
      <c r="L285" s="53"/>
      <c r="M285" s="53"/>
      <c r="N285" s="55"/>
      <c r="O285" s="55"/>
      <c r="P285" s="55"/>
      <c r="Q285" s="55"/>
    </row>
    <row r="286" spans="1:17" s="56" customFormat="1" x14ac:dyDescent="0.2">
      <c r="A286" s="1647"/>
      <c r="B286" s="1648"/>
      <c r="C286" s="1649"/>
      <c r="D286" s="1650"/>
      <c r="E286" s="1461"/>
      <c r="F286" s="1432">
        <f t="shared" si="6"/>
        <v>0</v>
      </c>
      <c r="G286" s="52"/>
      <c r="H286" s="63"/>
      <c r="I286" s="53"/>
      <c r="J286" s="54"/>
      <c r="K286" s="53"/>
      <c r="L286" s="53"/>
      <c r="M286" s="53"/>
      <c r="N286" s="55"/>
      <c r="O286" s="55"/>
      <c r="P286" s="55"/>
      <c r="Q286" s="55"/>
    </row>
    <row r="287" spans="1:17" s="56" customFormat="1" ht="25.5" x14ac:dyDescent="0.2">
      <c r="A287" s="1604" t="s">
        <v>190</v>
      </c>
      <c r="B287" s="1608" t="s">
        <v>1352</v>
      </c>
      <c r="C287" s="1588">
        <f>+C144</f>
        <v>25.82</v>
      </c>
      <c r="D287" s="1589" t="s">
        <v>172</v>
      </c>
      <c r="E287" s="1454"/>
      <c r="F287" s="1432">
        <f t="shared" si="6"/>
        <v>0</v>
      </c>
      <c r="G287" s="52"/>
      <c r="H287" s="63"/>
      <c r="I287" s="53"/>
      <c r="J287" s="54"/>
      <c r="K287" s="53"/>
      <c r="L287" s="53"/>
      <c r="M287" s="53"/>
      <c r="N287" s="55"/>
      <c r="O287" s="55"/>
      <c r="P287" s="55"/>
      <c r="Q287" s="55"/>
    </row>
    <row r="288" spans="1:17" s="56" customFormat="1" x14ac:dyDescent="0.2">
      <c r="A288" s="1594"/>
      <c r="B288" s="1651"/>
      <c r="C288" s="1565"/>
      <c r="D288" s="1615"/>
      <c r="E288" s="1455"/>
      <c r="F288" s="1432">
        <f t="shared" si="6"/>
        <v>0</v>
      </c>
      <c r="G288" s="52"/>
      <c r="H288" s="63"/>
      <c r="I288" s="53"/>
      <c r="J288" s="54"/>
      <c r="K288" s="53"/>
      <c r="L288" s="53"/>
      <c r="M288" s="53"/>
      <c r="N288" s="55"/>
      <c r="O288" s="55"/>
      <c r="P288" s="55"/>
      <c r="Q288" s="55"/>
    </row>
    <row r="289" spans="1:17" s="56" customFormat="1" x14ac:dyDescent="0.2">
      <c r="A289" s="1613" t="s">
        <v>213</v>
      </c>
      <c r="B289" s="1614" t="s">
        <v>173</v>
      </c>
      <c r="C289" s="1565"/>
      <c r="D289" s="1615"/>
      <c r="E289" s="1455"/>
      <c r="F289" s="1432">
        <f t="shared" si="6"/>
        <v>0</v>
      </c>
      <c r="G289" s="52"/>
      <c r="H289" s="63"/>
      <c r="I289" s="53"/>
      <c r="J289" s="53"/>
      <c r="K289" s="53"/>
      <c r="L289" s="53"/>
      <c r="M289" s="53"/>
      <c r="N289" s="55"/>
      <c r="O289" s="55"/>
      <c r="P289" s="55"/>
      <c r="Q289" s="55"/>
    </row>
    <row r="290" spans="1:17" s="15" customFormat="1" ht="14.25" customHeight="1" x14ac:dyDescent="0.2">
      <c r="A290" s="1616" t="s">
        <v>214</v>
      </c>
      <c r="B290" s="1617" t="s">
        <v>1353</v>
      </c>
      <c r="C290" s="1618">
        <v>1</v>
      </c>
      <c r="D290" s="1619" t="s">
        <v>8</v>
      </c>
      <c r="E290" s="1454"/>
      <c r="F290" s="1432">
        <f t="shared" si="6"/>
        <v>0</v>
      </c>
      <c r="G290" s="52"/>
      <c r="H290" s="65"/>
      <c r="I290" s="61"/>
      <c r="J290" s="61"/>
      <c r="K290" s="61"/>
    </row>
    <row r="291" spans="1:17" s="15" customFormat="1" ht="25.5" x14ac:dyDescent="0.2">
      <c r="A291" s="1620" t="s">
        <v>215</v>
      </c>
      <c r="B291" s="1621" t="s">
        <v>1354</v>
      </c>
      <c r="C291" s="1622">
        <v>1</v>
      </c>
      <c r="D291" s="1623" t="s">
        <v>8</v>
      </c>
      <c r="E291" s="1462"/>
      <c r="F291" s="1432">
        <f t="shared" si="6"/>
        <v>0</v>
      </c>
      <c r="G291" s="52"/>
      <c r="H291" s="65"/>
      <c r="I291" s="61"/>
      <c r="J291" s="61"/>
      <c r="K291" s="61"/>
    </row>
    <row r="292" spans="1:17" s="15" customFormat="1" x14ac:dyDescent="0.2">
      <c r="A292" s="1616" t="s">
        <v>216</v>
      </c>
      <c r="B292" s="1617" t="s">
        <v>174</v>
      </c>
      <c r="C292" s="1618">
        <v>1</v>
      </c>
      <c r="D292" s="1619" t="s">
        <v>8</v>
      </c>
      <c r="E292" s="1454"/>
      <c r="F292" s="1432">
        <f t="shared" si="6"/>
        <v>0</v>
      </c>
      <c r="G292" s="52"/>
      <c r="H292" s="65"/>
      <c r="I292" s="61"/>
      <c r="J292" s="61"/>
      <c r="K292" s="61"/>
    </row>
    <row r="293" spans="1:17" s="15" customFormat="1" x14ac:dyDescent="0.2">
      <c r="A293" s="1616" t="s">
        <v>217</v>
      </c>
      <c r="B293" s="1617" t="s">
        <v>175</v>
      </c>
      <c r="C293" s="1618">
        <v>2</v>
      </c>
      <c r="D293" s="1619" t="s">
        <v>8</v>
      </c>
      <c r="E293" s="1454"/>
      <c r="F293" s="1432">
        <f t="shared" si="6"/>
        <v>0</v>
      </c>
      <c r="G293" s="52"/>
      <c r="H293" s="65"/>
      <c r="I293" s="61"/>
      <c r="J293" s="61"/>
      <c r="K293" s="61"/>
    </row>
    <row r="294" spans="1:17" s="15" customFormat="1" x14ac:dyDescent="0.2">
      <c r="A294" s="1616" t="s">
        <v>218</v>
      </c>
      <c r="B294" s="1617" t="s">
        <v>176</v>
      </c>
      <c r="C294" s="1618">
        <v>1</v>
      </c>
      <c r="D294" s="1619" t="s">
        <v>8</v>
      </c>
      <c r="E294" s="1454"/>
      <c r="F294" s="1432">
        <f t="shared" si="6"/>
        <v>0</v>
      </c>
      <c r="G294" s="52"/>
      <c r="H294" s="65"/>
      <c r="I294" s="61"/>
      <c r="J294" s="61"/>
      <c r="K294" s="61"/>
    </row>
    <row r="295" spans="1:17" s="15" customFormat="1" x14ac:dyDescent="0.2">
      <c r="A295" s="1616" t="s">
        <v>219</v>
      </c>
      <c r="B295" s="1617" t="s">
        <v>177</v>
      </c>
      <c r="C295" s="1618">
        <v>1</v>
      </c>
      <c r="D295" s="1619" t="s">
        <v>8</v>
      </c>
      <c r="E295" s="1454"/>
      <c r="F295" s="1432">
        <f t="shared" si="6"/>
        <v>0</v>
      </c>
      <c r="G295" s="52"/>
      <c r="H295" s="65"/>
      <c r="I295" s="61"/>
      <c r="J295" s="61"/>
      <c r="K295" s="61"/>
    </row>
    <row r="296" spans="1:17" s="15" customFormat="1" x14ac:dyDescent="0.2">
      <c r="A296" s="1616" t="s">
        <v>220</v>
      </c>
      <c r="B296" s="1617" t="s">
        <v>178</v>
      </c>
      <c r="C296" s="1618">
        <v>1</v>
      </c>
      <c r="D296" s="1619" t="s">
        <v>8</v>
      </c>
      <c r="E296" s="1454"/>
      <c r="F296" s="1432">
        <f t="shared" si="6"/>
        <v>0</v>
      </c>
      <c r="G296" s="52"/>
      <c r="H296" s="65"/>
      <c r="I296" s="61"/>
      <c r="J296" s="61"/>
      <c r="K296" s="61"/>
    </row>
    <row r="297" spans="1:17" s="15" customFormat="1" x14ac:dyDescent="0.2">
      <c r="A297" s="1616" t="s">
        <v>221</v>
      </c>
      <c r="B297" s="1617" t="s">
        <v>179</v>
      </c>
      <c r="C297" s="1618">
        <v>1</v>
      </c>
      <c r="D297" s="1619" t="s">
        <v>8</v>
      </c>
      <c r="E297" s="1454"/>
      <c r="F297" s="1432">
        <f t="shared" si="6"/>
        <v>0</v>
      </c>
      <c r="G297" s="52"/>
      <c r="H297" s="65"/>
      <c r="I297" s="61"/>
      <c r="J297" s="61"/>
      <c r="K297" s="61"/>
    </row>
    <row r="298" spans="1:17" s="15" customFormat="1" x14ac:dyDescent="0.2">
      <c r="A298" s="1616" t="s">
        <v>222</v>
      </c>
      <c r="B298" s="1617" t="s">
        <v>180</v>
      </c>
      <c r="C298" s="1618">
        <v>1</v>
      </c>
      <c r="D298" s="1619" t="s">
        <v>8</v>
      </c>
      <c r="E298" s="1454"/>
      <c r="F298" s="1432">
        <f t="shared" si="6"/>
        <v>0</v>
      </c>
      <c r="G298" s="52"/>
      <c r="H298" s="65"/>
      <c r="I298" s="61"/>
      <c r="J298" s="61"/>
      <c r="K298" s="61"/>
    </row>
    <row r="299" spans="1:17" s="15" customFormat="1" ht="12.75" customHeight="1" x14ac:dyDescent="0.2">
      <c r="A299" s="1616" t="s">
        <v>223</v>
      </c>
      <c r="B299" s="1617" t="s">
        <v>181</v>
      </c>
      <c r="C299" s="1618">
        <v>1</v>
      </c>
      <c r="D299" s="1619" t="s">
        <v>155</v>
      </c>
      <c r="E299" s="1454"/>
      <c r="F299" s="1432">
        <f t="shared" si="6"/>
        <v>0</v>
      </c>
      <c r="G299" s="52"/>
      <c r="H299" s="65"/>
      <c r="I299" s="61"/>
      <c r="J299" s="61"/>
      <c r="K299" s="61"/>
    </row>
    <row r="300" spans="1:17" s="15" customFormat="1" ht="12.75" customHeight="1" x14ac:dyDescent="0.2">
      <c r="A300" s="1616" t="s">
        <v>224</v>
      </c>
      <c r="B300" s="1617" t="s">
        <v>182</v>
      </c>
      <c r="C300" s="1618">
        <v>1</v>
      </c>
      <c r="D300" s="1619" t="s">
        <v>8</v>
      </c>
      <c r="E300" s="1454"/>
      <c r="F300" s="1432">
        <f t="shared" si="6"/>
        <v>0</v>
      </c>
      <c r="G300" s="52"/>
      <c r="H300" s="65"/>
      <c r="I300" s="61"/>
      <c r="J300" s="61"/>
      <c r="K300" s="61"/>
    </row>
    <row r="301" spans="1:17" s="15" customFormat="1" ht="12.75" customHeight="1" x14ac:dyDescent="0.2">
      <c r="A301" s="1616" t="s">
        <v>225</v>
      </c>
      <c r="B301" s="1617" t="s">
        <v>1355</v>
      </c>
      <c r="C301" s="1618">
        <v>1</v>
      </c>
      <c r="D301" s="1619" t="s">
        <v>8</v>
      </c>
      <c r="E301" s="1454"/>
      <c r="F301" s="1432">
        <f t="shared" si="6"/>
        <v>0</v>
      </c>
      <c r="G301" s="52"/>
      <c r="H301" s="65"/>
      <c r="I301" s="61"/>
      <c r="J301" s="61"/>
      <c r="K301" s="61"/>
    </row>
    <row r="302" spans="1:17" s="15" customFormat="1" ht="12.75" customHeight="1" x14ac:dyDescent="0.2">
      <c r="A302" s="1616" t="s">
        <v>226</v>
      </c>
      <c r="B302" s="1617" t="s">
        <v>183</v>
      </c>
      <c r="C302" s="1618">
        <v>1</v>
      </c>
      <c r="D302" s="1619" t="s">
        <v>155</v>
      </c>
      <c r="E302" s="1454"/>
      <c r="F302" s="1432">
        <f t="shared" si="6"/>
        <v>0</v>
      </c>
      <c r="G302" s="52"/>
      <c r="H302" s="65"/>
      <c r="I302" s="61"/>
      <c r="J302" s="61"/>
      <c r="K302" s="61"/>
    </row>
    <row r="303" spans="1:17" s="15" customFormat="1" x14ac:dyDescent="0.2">
      <c r="A303" s="1624"/>
      <c r="B303" s="1617"/>
      <c r="C303" s="1618"/>
      <c r="D303" s="1619"/>
      <c r="E303" s="1463"/>
      <c r="F303" s="1432">
        <f t="shared" si="6"/>
        <v>0</v>
      </c>
      <c r="G303" s="52"/>
      <c r="H303" s="65"/>
      <c r="I303" s="61"/>
      <c r="J303" s="61"/>
      <c r="K303" s="61"/>
    </row>
    <row r="304" spans="1:17" s="56" customFormat="1" x14ac:dyDescent="0.2">
      <c r="A304" s="1613" t="s">
        <v>227</v>
      </c>
      <c r="B304" s="1595" t="s">
        <v>1300</v>
      </c>
      <c r="C304" s="1625"/>
      <c r="D304" s="1589"/>
      <c r="E304" s="1455"/>
      <c r="F304" s="1432">
        <f t="shared" si="6"/>
        <v>0</v>
      </c>
      <c r="G304" s="52"/>
      <c r="H304" s="63"/>
      <c r="I304" s="53"/>
      <c r="J304" s="53"/>
      <c r="K304" s="53"/>
      <c r="L304" s="53"/>
      <c r="M304" s="53"/>
      <c r="N304" s="55"/>
      <c r="O304" s="55"/>
      <c r="P304" s="55"/>
      <c r="Q304" s="55"/>
    </row>
    <row r="305" spans="1:17" s="56" customFormat="1" ht="25.5" x14ac:dyDescent="0.2">
      <c r="A305" s="1596" t="s">
        <v>228</v>
      </c>
      <c r="B305" s="1626" t="s">
        <v>184</v>
      </c>
      <c r="C305" s="1625">
        <v>1</v>
      </c>
      <c r="D305" s="1589" t="s">
        <v>8</v>
      </c>
      <c r="E305" s="1454"/>
      <c r="F305" s="1432">
        <f t="shared" si="6"/>
        <v>0</v>
      </c>
      <c r="G305" s="52"/>
      <c r="H305" s="63"/>
      <c r="I305" s="62"/>
      <c r="J305" s="53"/>
      <c r="K305" s="53"/>
      <c r="L305" s="53"/>
      <c r="M305" s="53"/>
      <c r="N305" s="55"/>
      <c r="O305" s="55"/>
      <c r="P305" s="55"/>
      <c r="Q305" s="55"/>
    </row>
    <row r="306" spans="1:17" s="56" customFormat="1" x14ac:dyDescent="0.2">
      <c r="A306" s="1596" t="s">
        <v>229</v>
      </c>
      <c r="B306" s="1626" t="s">
        <v>185</v>
      </c>
      <c r="C306" s="1625">
        <v>6</v>
      </c>
      <c r="D306" s="1589" t="s">
        <v>8</v>
      </c>
      <c r="E306" s="1454"/>
      <c r="F306" s="1432">
        <f t="shared" si="6"/>
        <v>0</v>
      </c>
      <c r="G306" s="52"/>
      <c r="H306" s="63"/>
      <c r="I306" s="62"/>
      <c r="J306" s="53"/>
      <c r="K306" s="53"/>
      <c r="L306" s="53"/>
      <c r="M306" s="53"/>
      <c r="N306" s="55"/>
      <c r="O306" s="55"/>
      <c r="P306" s="55"/>
      <c r="Q306" s="55"/>
    </row>
    <row r="307" spans="1:17" s="56" customFormat="1" x14ac:dyDescent="0.2">
      <c r="A307" s="1596" t="s">
        <v>230</v>
      </c>
      <c r="B307" s="1587" t="s">
        <v>186</v>
      </c>
      <c r="C307" s="1625">
        <v>3</v>
      </c>
      <c r="D307" s="1589" t="s">
        <v>8</v>
      </c>
      <c r="E307" s="1454"/>
      <c r="F307" s="1432">
        <f t="shared" si="6"/>
        <v>0</v>
      </c>
      <c r="G307" s="52"/>
      <c r="H307" s="63"/>
      <c r="I307" s="62"/>
      <c r="J307" s="53"/>
      <c r="K307" s="53"/>
      <c r="L307" s="53"/>
      <c r="M307" s="53"/>
      <c r="N307" s="55"/>
      <c r="O307" s="55"/>
      <c r="P307" s="55"/>
      <c r="Q307" s="55"/>
    </row>
    <row r="308" spans="1:17" s="56" customFormat="1" x14ac:dyDescent="0.2">
      <c r="A308" s="1596" t="s">
        <v>231</v>
      </c>
      <c r="B308" s="1587" t="s">
        <v>187</v>
      </c>
      <c r="C308" s="1625">
        <v>3</v>
      </c>
      <c r="D308" s="1589" t="s">
        <v>8</v>
      </c>
      <c r="E308" s="1454"/>
      <c r="F308" s="1432">
        <f t="shared" si="6"/>
        <v>0</v>
      </c>
      <c r="G308" s="52"/>
      <c r="H308" s="63"/>
      <c r="I308" s="53"/>
      <c r="J308" s="53"/>
      <c r="K308" s="53"/>
      <c r="L308" s="53"/>
      <c r="M308" s="53"/>
      <c r="N308" s="55"/>
      <c r="O308" s="55"/>
      <c r="P308" s="55"/>
      <c r="Q308" s="55"/>
    </row>
    <row r="309" spans="1:17" s="56" customFormat="1" x14ac:dyDescent="0.2">
      <c r="A309" s="1596"/>
      <c r="B309" s="1587"/>
      <c r="C309" s="1625"/>
      <c r="D309" s="1589"/>
      <c r="E309" s="1467"/>
      <c r="F309" s="1432">
        <f t="shared" si="6"/>
        <v>0</v>
      </c>
      <c r="G309" s="52"/>
      <c r="H309" s="63"/>
      <c r="I309" s="53"/>
      <c r="J309" s="53"/>
      <c r="K309" s="53"/>
      <c r="L309" s="53"/>
      <c r="M309" s="53"/>
      <c r="N309" s="55"/>
      <c r="O309" s="55"/>
      <c r="P309" s="55"/>
      <c r="Q309" s="55"/>
    </row>
    <row r="310" spans="1:17" x14ac:dyDescent="0.2">
      <c r="A310" s="1616">
        <v>4.3</v>
      </c>
      <c r="B310" s="1617" t="s">
        <v>1356</v>
      </c>
      <c r="C310" s="1618">
        <v>1</v>
      </c>
      <c r="D310" s="1619" t="s">
        <v>8</v>
      </c>
      <c r="E310" s="1454"/>
      <c r="F310" s="1432">
        <f t="shared" si="6"/>
        <v>0</v>
      </c>
      <c r="G310" s="5"/>
      <c r="H310" s="5"/>
    </row>
    <row r="311" spans="1:17" ht="2.25" customHeight="1" x14ac:dyDescent="0.25">
      <c r="A311" s="1557"/>
      <c r="B311" s="1539"/>
      <c r="C311" s="1540"/>
      <c r="D311" s="1631"/>
      <c r="E311" s="1440"/>
      <c r="F311" s="1432">
        <f t="shared" si="6"/>
        <v>0</v>
      </c>
      <c r="G311" s="5"/>
      <c r="H311" s="5"/>
    </row>
    <row r="312" spans="1:17" ht="12.75" customHeight="1" x14ac:dyDescent="0.25">
      <c r="A312" s="1627"/>
      <c r="B312" s="1628" t="s">
        <v>83</v>
      </c>
      <c r="C312" s="1629"/>
      <c r="D312" s="1630"/>
      <c r="E312" s="1464"/>
      <c r="F312" s="1464">
        <f>SUM(F169:F311)</f>
        <v>0</v>
      </c>
      <c r="G312" s="5"/>
      <c r="H312" s="5"/>
    </row>
    <row r="313" spans="1:17" ht="5.0999999999999996" customHeight="1" x14ac:dyDescent="0.25">
      <c r="A313" s="1538"/>
      <c r="B313" s="1539"/>
      <c r="C313" s="1540"/>
      <c r="D313" s="1631"/>
      <c r="E313" s="1440"/>
      <c r="F313" s="1440"/>
      <c r="G313" s="5"/>
      <c r="H313" s="5"/>
    </row>
    <row r="314" spans="1:17" x14ac:dyDescent="0.25">
      <c r="A314" s="1652"/>
      <c r="B314" s="1653" t="s">
        <v>84</v>
      </c>
      <c r="C314" s="1654"/>
      <c r="D314" s="1655"/>
      <c r="E314" s="1468"/>
      <c r="F314" s="1468">
        <f>+F312+F168</f>
        <v>0</v>
      </c>
      <c r="G314" s="5"/>
      <c r="H314" s="5"/>
    </row>
    <row r="315" spans="1:17" x14ac:dyDescent="0.25">
      <c r="A315" s="1538"/>
      <c r="B315" s="1634"/>
      <c r="C315" s="1540"/>
      <c r="D315" s="1631"/>
      <c r="E315" s="1440"/>
      <c r="F315" s="1432"/>
      <c r="G315" s="5"/>
      <c r="H315" s="5"/>
    </row>
    <row r="316" spans="1:17" ht="25.5" x14ac:dyDescent="0.25">
      <c r="A316" s="1506" t="s">
        <v>85</v>
      </c>
      <c r="B316" s="1507" t="s">
        <v>1324</v>
      </c>
      <c r="C316" s="1508"/>
      <c r="D316" s="1509"/>
      <c r="E316" s="1429"/>
      <c r="F316" s="1432">
        <f t="shared" si="6"/>
        <v>0</v>
      </c>
      <c r="G316" s="5"/>
      <c r="H316" s="5"/>
    </row>
    <row r="317" spans="1:17" ht="5.0999999999999996" customHeight="1" x14ac:dyDescent="0.25">
      <c r="A317" s="1538"/>
      <c r="B317" s="1634"/>
      <c r="C317" s="1540"/>
      <c r="D317" s="1631"/>
      <c r="E317" s="1440"/>
      <c r="F317" s="1432">
        <f t="shared" si="6"/>
        <v>0</v>
      </c>
      <c r="G317" s="5"/>
      <c r="H317" s="5"/>
    </row>
    <row r="318" spans="1:17" x14ac:dyDescent="0.25">
      <c r="A318" s="1656">
        <v>1</v>
      </c>
      <c r="B318" s="1657" t="s">
        <v>86</v>
      </c>
      <c r="C318" s="1508">
        <v>550</v>
      </c>
      <c r="D318" s="1509" t="s">
        <v>41</v>
      </c>
      <c r="E318" s="1429"/>
      <c r="F318" s="1432">
        <f t="shared" si="6"/>
        <v>0</v>
      </c>
      <c r="G318" s="5"/>
      <c r="H318" s="5"/>
    </row>
    <row r="319" spans="1:17" ht="5.0999999999999996" customHeight="1" x14ac:dyDescent="0.25">
      <c r="A319" s="1656"/>
      <c r="B319" s="1657"/>
      <c r="C319" s="1508"/>
      <c r="D319" s="1509"/>
      <c r="E319" s="1429"/>
      <c r="F319" s="1432">
        <f t="shared" si="6"/>
        <v>0</v>
      </c>
      <c r="G319" s="5"/>
      <c r="H319" s="5"/>
    </row>
    <row r="320" spans="1:17" x14ac:dyDescent="0.25">
      <c r="A320" s="1658">
        <v>2</v>
      </c>
      <c r="B320" s="1507" t="s">
        <v>87</v>
      </c>
      <c r="C320" s="1508"/>
      <c r="D320" s="1509"/>
      <c r="E320" s="1429"/>
      <c r="F320" s="1432">
        <f t="shared" si="6"/>
        <v>0</v>
      </c>
      <c r="G320" s="5"/>
      <c r="H320" s="5"/>
    </row>
    <row r="321" spans="1:8" ht="14.25" x14ac:dyDescent="0.2">
      <c r="A321" s="1502">
        <v>2.1</v>
      </c>
      <c r="B321" s="1657" t="s">
        <v>1323</v>
      </c>
      <c r="C321" s="1508">
        <v>98</v>
      </c>
      <c r="D321" s="1564" t="s">
        <v>1339</v>
      </c>
      <c r="E321" s="1429"/>
      <c r="F321" s="1432">
        <f t="shared" si="6"/>
        <v>0</v>
      </c>
      <c r="G321" s="5"/>
      <c r="H321" s="5"/>
    </row>
    <row r="322" spans="1:8" ht="14.25" x14ac:dyDescent="0.2">
      <c r="A322" s="1502">
        <v>2.2000000000000002</v>
      </c>
      <c r="B322" s="1657" t="s">
        <v>89</v>
      </c>
      <c r="C322" s="1508">
        <v>10</v>
      </c>
      <c r="D322" s="1571" t="s">
        <v>1339</v>
      </c>
      <c r="E322" s="1429"/>
      <c r="F322" s="1432">
        <f t="shared" si="6"/>
        <v>0</v>
      </c>
      <c r="G322" s="5"/>
      <c r="H322" s="5"/>
    </row>
    <row r="323" spans="1:8" ht="25.5" x14ac:dyDescent="0.2">
      <c r="A323" s="1502">
        <v>2.2999999999999998</v>
      </c>
      <c r="B323" s="1657" t="s">
        <v>1322</v>
      </c>
      <c r="C323" s="1504">
        <v>82.42</v>
      </c>
      <c r="D323" s="1571" t="s">
        <v>1339</v>
      </c>
      <c r="E323" s="1428"/>
      <c r="F323" s="1432">
        <f t="shared" si="6"/>
        <v>0</v>
      </c>
      <c r="G323" s="5"/>
      <c r="H323" s="5"/>
    </row>
    <row r="324" spans="1:8" ht="25.5" x14ac:dyDescent="0.2">
      <c r="A324" s="1502">
        <v>2.4</v>
      </c>
      <c r="B324" s="1657" t="s">
        <v>1321</v>
      </c>
      <c r="C324" s="1504">
        <v>18.7</v>
      </c>
      <c r="D324" s="1571" t="s">
        <v>1339</v>
      </c>
      <c r="E324" s="1428"/>
      <c r="F324" s="1432">
        <f t="shared" si="6"/>
        <v>0</v>
      </c>
      <c r="G324" s="5"/>
      <c r="H324" s="5"/>
    </row>
    <row r="325" spans="1:8" ht="5.0999999999999996" customHeight="1" x14ac:dyDescent="0.25">
      <c r="A325" s="1658"/>
      <c r="B325" s="1659"/>
      <c r="C325" s="1508"/>
      <c r="D325" s="1509"/>
      <c r="E325" s="1429"/>
      <c r="F325" s="1432">
        <f t="shared" si="6"/>
        <v>0</v>
      </c>
      <c r="G325" s="5"/>
      <c r="H325" s="5"/>
    </row>
    <row r="326" spans="1:8" x14ac:dyDescent="0.25">
      <c r="A326" s="1658">
        <v>3</v>
      </c>
      <c r="B326" s="1660" t="s">
        <v>1320</v>
      </c>
      <c r="C326" s="1508"/>
      <c r="D326" s="1509"/>
      <c r="E326" s="1429"/>
      <c r="F326" s="1432">
        <f t="shared" si="6"/>
        <v>0</v>
      </c>
      <c r="G326" s="5"/>
      <c r="H326" s="5"/>
    </row>
    <row r="327" spans="1:8" x14ac:dyDescent="0.25">
      <c r="A327" s="1502">
        <v>3.1</v>
      </c>
      <c r="B327" s="1661" t="s">
        <v>90</v>
      </c>
      <c r="C327" s="1508">
        <v>566.5</v>
      </c>
      <c r="D327" s="1509" t="s">
        <v>41</v>
      </c>
      <c r="E327" s="1429"/>
      <c r="F327" s="1432">
        <f t="shared" si="6"/>
        <v>0</v>
      </c>
      <c r="G327" s="5"/>
      <c r="H327" s="5"/>
    </row>
    <row r="328" spans="1:8" ht="5.0999999999999996" customHeight="1" x14ac:dyDescent="0.25">
      <c r="A328" s="1502"/>
      <c r="B328" s="1661"/>
      <c r="C328" s="1508"/>
      <c r="D328" s="1509"/>
      <c r="E328" s="1429"/>
      <c r="F328" s="1432">
        <f t="shared" si="6"/>
        <v>0</v>
      </c>
      <c r="G328" s="5"/>
      <c r="H328" s="5"/>
    </row>
    <row r="329" spans="1:8" x14ac:dyDescent="0.25">
      <c r="A329" s="1658">
        <v>4</v>
      </c>
      <c r="B329" s="1660" t="s">
        <v>1319</v>
      </c>
      <c r="C329" s="1508"/>
      <c r="D329" s="1509"/>
      <c r="E329" s="1429"/>
      <c r="F329" s="1432">
        <f t="shared" si="6"/>
        <v>0</v>
      </c>
      <c r="G329" s="5"/>
      <c r="H329" s="5"/>
    </row>
    <row r="330" spans="1:8" x14ac:dyDescent="0.25">
      <c r="A330" s="1502">
        <v>4.0999999999999996</v>
      </c>
      <c r="B330" s="1661" t="s">
        <v>90</v>
      </c>
      <c r="C330" s="1508">
        <v>566.5</v>
      </c>
      <c r="D330" s="1509" t="s">
        <v>41</v>
      </c>
      <c r="E330" s="1429"/>
      <c r="F330" s="1432">
        <f t="shared" si="6"/>
        <v>0</v>
      </c>
      <c r="G330" s="5"/>
      <c r="H330" s="5"/>
    </row>
    <row r="331" spans="1:8" x14ac:dyDescent="0.25">
      <c r="A331" s="1538"/>
      <c r="B331" s="1634"/>
      <c r="C331" s="1540"/>
      <c r="D331" s="1541"/>
      <c r="E331" s="1440"/>
      <c r="F331" s="1432">
        <f t="shared" si="6"/>
        <v>0</v>
      </c>
      <c r="G331" s="5"/>
      <c r="H331" s="5"/>
    </row>
    <row r="332" spans="1:8" x14ac:dyDescent="0.25">
      <c r="A332" s="1552">
        <v>5</v>
      </c>
      <c r="B332" s="1585" t="s">
        <v>91</v>
      </c>
      <c r="C332" s="1540"/>
      <c r="D332" s="1631"/>
      <c r="E332" s="1440"/>
      <c r="F332" s="1432">
        <f t="shared" si="6"/>
        <v>0</v>
      </c>
      <c r="G332" s="5"/>
      <c r="H332" s="5"/>
    </row>
    <row r="333" spans="1:8" ht="25.5" x14ac:dyDescent="0.25">
      <c r="A333" s="1545">
        <v>5.0999999999999996</v>
      </c>
      <c r="B333" s="1634" t="s">
        <v>1318</v>
      </c>
      <c r="C333" s="1540">
        <v>8</v>
      </c>
      <c r="D333" s="1631" t="s">
        <v>8</v>
      </c>
      <c r="E333" s="1440"/>
      <c r="F333" s="1432">
        <f t="shared" si="6"/>
        <v>0</v>
      </c>
      <c r="G333" s="5"/>
      <c r="H333" s="5"/>
    </row>
    <row r="334" spans="1:8" ht="25.5" x14ac:dyDescent="0.25">
      <c r="A334" s="1545">
        <v>5.2</v>
      </c>
      <c r="B334" s="1634" t="s">
        <v>1317</v>
      </c>
      <c r="C334" s="1540">
        <v>1</v>
      </c>
      <c r="D334" s="1631" t="s">
        <v>8</v>
      </c>
      <c r="E334" s="1440"/>
      <c r="F334" s="1432">
        <f t="shared" si="6"/>
        <v>0</v>
      </c>
      <c r="G334" s="5"/>
      <c r="H334" s="5"/>
    </row>
    <row r="335" spans="1:8" ht="25.5" x14ac:dyDescent="0.25">
      <c r="A335" s="1545">
        <v>5.3</v>
      </c>
      <c r="B335" s="1634" t="s">
        <v>1316</v>
      </c>
      <c r="C335" s="1662">
        <v>2</v>
      </c>
      <c r="D335" s="1663" t="s">
        <v>8</v>
      </c>
      <c r="E335" s="1445"/>
      <c r="F335" s="1432">
        <f t="shared" si="6"/>
        <v>0</v>
      </c>
      <c r="G335" s="5"/>
      <c r="H335" s="5"/>
    </row>
    <row r="336" spans="1:8" x14ac:dyDescent="0.25">
      <c r="A336" s="1545">
        <v>5.4</v>
      </c>
      <c r="B336" s="1634" t="s">
        <v>1314</v>
      </c>
      <c r="C336" s="1540">
        <v>12</v>
      </c>
      <c r="D336" s="1631" t="s">
        <v>8</v>
      </c>
      <c r="E336" s="1440"/>
      <c r="F336" s="1432">
        <f t="shared" si="6"/>
        <v>0</v>
      </c>
      <c r="G336" s="5"/>
      <c r="H336" s="5"/>
    </row>
    <row r="337" spans="1:8" x14ac:dyDescent="0.25">
      <c r="A337" s="1545">
        <v>5.5</v>
      </c>
      <c r="B337" s="1634" t="s">
        <v>1315</v>
      </c>
      <c r="C337" s="1540">
        <v>4</v>
      </c>
      <c r="D337" s="1631" t="s">
        <v>8</v>
      </c>
      <c r="E337" s="1440"/>
      <c r="F337" s="1432">
        <f t="shared" si="6"/>
        <v>0</v>
      </c>
      <c r="G337" s="5"/>
      <c r="H337" s="5"/>
    </row>
    <row r="338" spans="1:8" x14ac:dyDescent="0.25">
      <c r="A338" s="1545">
        <v>5.6</v>
      </c>
      <c r="B338" s="1634" t="s">
        <v>92</v>
      </c>
      <c r="C338" s="1540">
        <v>11</v>
      </c>
      <c r="D338" s="1541" t="s">
        <v>8</v>
      </c>
      <c r="E338" s="1440"/>
      <c r="F338" s="1432">
        <f t="shared" ref="F338:F348" si="7">+E338*C338</f>
        <v>0</v>
      </c>
      <c r="G338" s="5"/>
      <c r="H338" s="5"/>
    </row>
    <row r="339" spans="1:8" x14ac:dyDescent="0.25">
      <c r="A339" s="1538"/>
      <c r="B339" s="1634"/>
      <c r="C339" s="1540"/>
      <c r="D339" s="1541"/>
      <c r="E339" s="1440"/>
      <c r="F339" s="1432">
        <f t="shared" si="7"/>
        <v>0</v>
      </c>
      <c r="G339" s="5"/>
      <c r="H339" s="5"/>
    </row>
    <row r="340" spans="1:8" x14ac:dyDescent="0.25">
      <c r="A340" s="1538">
        <v>6</v>
      </c>
      <c r="B340" s="1634" t="s">
        <v>1313</v>
      </c>
      <c r="C340" s="1540">
        <v>550</v>
      </c>
      <c r="D340" s="1631" t="s">
        <v>41</v>
      </c>
      <c r="E340" s="1440"/>
      <c r="F340" s="1432">
        <f t="shared" si="7"/>
        <v>0</v>
      </c>
      <c r="G340" s="5"/>
      <c r="H340" s="5"/>
    </row>
    <row r="341" spans="1:8" ht="5.0999999999999996" customHeight="1" x14ac:dyDescent="0.25">
      <c r="A341" s="1538"/>
      <c r="B341" s="1634"/>
      <c r="C341" s="1540"/>
      <c r="D341" s="1631"/>
      <c r="E341" s="1440"/>
      <c r="F341" s="1432">
        <f t="shared" si="7"/>
        <v>0</v>
      </c>
      <c r="G341" s="5"/>
      <c r="H341" s="5"/>
    </row>
    <row r="342" spans="1:8" x14ac:dyDescent="0.25">
      <c r="A342" s="1538">
        <v>7</v>
      </c>
      <c r="B342" s="1634" t="s">
        <v>93</v>
      </c>
      <c r="C342" s="1540">
        <v>1</v>
      </c>
      <c r="D342" s="1631" t="s">
        <v>8</v>
      </c>
      <c r="E342" s="1440"/>
      <c r="F342" s="1432">
        <f t="shared" si="7"/>
        <v>0</v>
      </c>
      <c r="G342" s="5"/>
      <c r="H342" s="5"/>
    </row>
    <row r="343" spans="1:8" x14ac:dyDescent="0.25">
      <c r="A343" s="1664"/>
      <c r="B343" s="1665" t="s">
        <v>94</v>
      </c>
      <c r="C343" s="1666"/>
      <c r="D343" s="1667"/>
      <c r="E343" s="1469"/>
      <c r="F343" s="1469">
        <f>SUM(F316:F342)</f>
        <v>0</v>
      </c>
      <c r="G343" s="5"/>
      <c r="H343" s="5"/>
    </row>
    <row r="344" spans="1:8" x14ac:dyDescent="0.25">
      <c r="A344" s="1538"/>
      <c r="B344" s="1634"/>
      <c r="C344" s="1540"/>
      <c r="D344" s="1541"/>
      <c r="E344" s="1440"/>
      <c r="F344" s="1432"/>
      <c r="G344" s="5"/>
      <c r="H344" s="5"/>
    </row>
    <row r="345" spans="1:8" x14ac:dyDescent="0.25">
      <c r="A345" s="1668" t="s">
        <v>95</v>
      </c>
      <c r="B345" s="1543" t="s">
        <v>96</v>
      </c>
      <c r="C345" s="1525"/>
      <c r="D345" s="1544"/>
      <c r="E345" s="1470"/>
      <c r="F345" s="1432">
        <f t="shared" si="7"/>
        <v>0</v>
      </c>
      <c r="G345" s="5"/>
      <c r="H345" s="5"/>
    </row>
    <row r="346" spans="1:8" x14ac:dyDescent="0.25">
      <c r="A346" s="1538"/>
      <c r="B346" s="1634"/>
      <c r="C346" s="1540"/>
      <c r="D346" s="1631"/>
      <c r="E346" s="1440"/>
      <c r="F346" s="1432">
        <f t="shared" si="7"/>
        <v>0</v>
      </c>
      <c r="G346" s="5"/>
      <c r="H346" s="5"/>
    </row>
    <row r="347" spans="1:8" x14ac:dyDescent="0.25">
      <c r="A347" s="1669">
        <v>1</v>
      </c>
      <c r="B347" s="1670" t="s">
        <v>97</v>
      </c>
      <c r="C347" s="1671"/>
      <c r="D347" s="1672" t="s">
        <v>98</v>
      </c>
      <c r="E347" s="1471"/>
      <c r="F347" s="1432">
        <f t="shared" si="7"/>
        <v>0</v>
      </c>
      <c r="G347" s="5"/>
      <c r="H347" s="5"/>
    </row>
    <row r="348" spans="1:8" ht="63.75" x14ac:dyDescent="0.25">
      <c r="A348" s="1669">
        <v>2</v>
      </c>
      <c r="B348" s="1673" t="s">
        <v>99</v>
      </c>
      <c r="C348" s="1674">
        <v>2</v>
      </c>
      <c r="D348" s="1675" t="s">
        <v>8</v>
      </c>
      <c r="E348" s="1472"/>
      <c r="F348" s="1432">
        <f t="shared" si="7"/>
        <v>0</v>
      </c>
      <c r="G348" s="5"/>
      <c r="H348" s="5"/>
    </row>
    <row r="349" spans="1:8" x14ac:dyDescent="0.25">
      <c r="A349" s="1676"/>
      <c r="B349" s="1665" t="s">
        <v>100</v>
      </c>
      <c r="C349" s="1677"/>
      <c r="D349" s="1678"/>
      <c r="E349" s="1473"/>
      <c r="F349" s="1474">
        <f>SUM(F345:F348)</f>
        <v>0</v>
      </c>
      <c r="G349" s="5"/>
      <c r="H349" s="5"/>
    </row>
    <row r="350" spans="1:8" x14ac:dyDescent="0.25">
      <c r="A350" s="1679"/>
      <c r="B350" s="1680"/>
      <c r="C350" s="1681"/>
      <c r="D350" s="1682"/>
      <c r="E350" s="1475"/>
      <c r="F350" s="1476"/>
      <c r="G350" s="5"/>
      <c r="H350" s="5"/>
    </row>
    <row r="351" spans="1:8" x14ac:dyDescent="0.25">
      <c r="A351" s="1683"/>
      <c r="B351" s="1684" t="s">
        <v>101</v>
      </c>
      <c r="C351" s="1685"/>
      <c r="D351" s="1686"/>
      <c r="E351" s="1477"/>
      <c r="F351" s="1478">
        <f>SUM(F12:F349)/2</f>
        <v>0</v>
      </c>
      <c r="G351" s="5"/>
      <c r="H351" s="5"/>
    </row>
    <row r="352" spans="1:8" x14ac:dyDescent="0.25">
      <c r="A352" s="1687"/>
      <c r="B352" s="1684" t="s">
        <v>101</v>
      </c>
      <c r="C352" s="1688"/>
      <c r="D352" s="1689"/>
      <c r="E352" s="1479"/>
      <c r="F352" s="1474">
        <f>+F351</f>
        <v>0</v>
      </c>
      <c r="G352" s="5"/>
      <c r="H352" s="5"/>
    </row>
    <row r="353" spans="1:8" x14ac:dyDescent="0.25">
      <c r="A353" s="1690"/>
      <c r="B353" s="1691" t="s">
        <v>102</v>
      </c>
      <c r="C353" s="1692"/>
      <c r="D353" s="1693"/>
      <c r="E353" s="1480"/>
      <c r="F353" s="1481"/>
      <c r="H353" s="5"/>
    </row>
    <row r="354" spans="1:8" x14ac:dyDescent="0.25">
      <c r="A354" s="1690"/>
      <c r="B354" s="1694" t="s">
        <v>103</v>
      </c>
      <c r="C354" s="1695">
        <v>0.1</v>
      </c>
      <c r="D354" s="1693"/>
      <c r="E354" s="1480"/>
      <c r="F354" s="1482">
        <f>+$F$352*C354</f>
        <v>0</v>
      </c>
      <c r="H354" s="5"/>
    </row>
    <row r="355" spans="1:8" x14ac:dyDescent="0.25">
      <c r="A355" s="1690"/>
      <c r="B355" s="1694" t="s">
        <v>104</v>
      </c>
      <c r="C355" s="1695">
        <v>4.7500000000000001E-2</v>
      </c>
      <c r="D355" s="1693"/>
      <c r="E355" s="1480"/>
      <c r="F355" s="1482">
        <f t="shared" ref="F355:F365" si="8">+$F$352*C355</f>
        <v>0</v>
      </c>
      <c r="H355" s="5"/>
    </row>
    <row r="356" spans="1:8" x14ac:dyDescent="0.25">
      <c r="A356" s="1690"/>
      <c r="B356" s="1694" t="s">
        <v>105</v>
      </c>
      <c r="C356" s="1695">
        <v>0.04</v>
      </c>
      <c r="D356" s="1693"/>
      <c r="E356" s="1480"/>
      <c r="F356" s="1482">
        <f t="shared" si="8"/>
        <v>0</v>
      </c>
      <c r="H356" s="5"/>
    </row>
    <row r="357" spans="1:8" x14ac:dyDescent="0.25">
      <c r="A357" s="1690"/>
      <c r="B357" s="1694" t="s">
        <v>106</v>
      </c>
      <c r="C357" s="1695">
        <v>0.03</v>
      </c>
      <c r="D357" s="1693"/>
      <c r="E357" s="1480"/>
      <c r="F357" s="1482">
        <f t="shared" si="8"/>
        <v>0</v>
      </c>
      <c r="H357" s="5"/>
    </row>
    <row r="358" spans="1:8" x14ac:dyDescent="0.25">
      <c r="A358" s="1690"/>
      <c r="B358" s="1694" t="s">
        <v>107</v>
      </c>
      <c r="C358" s="1695">
        <v>0.01</v>
      </c>
      <c r="D358" s="1693"/>
      <c r="E358" s="1480"/>
      <c r="F358" s="1482">
        <f t="shared" si="8"/>
        <v>0</v>
      </c>
      <c r="H358" s="5"/>
    </row>
    <row r="359" spans="1:8" x14ac:dyDescent="0.25">
      <c r="A359" s="1690"/>
      <c r="B359" s="1696" t="s">
        <v>108</v>
      </c>
      <c r="C359" s="1695">
        <v>0.18</v>
      </c>
      <c r="D359" s="1693"/>
      <c r="E359" s="1480"/>
      <c r="F359" s="1482">
        <f t="shared" si="8"/>
        <v>0</v>
      </c>
      <c r="H359" s="5"/>
    </row>
    <row r="360" spans="1:8" x14ac:dyDescent="0.25">
      <c r="A360" s="1690"/>
      <c r="B360" s="1694" t="s">
        <v>109</v>
      </c>
      <c r="C360" s="1695">
        <v>1E-3</v>
      </c>
      <c r="D360" s="1693"/>
      <c r="E360" s="1480"/>
      <c r="F360" s="1482">
        <f t="shared" si="8"/>
        <v>0</v>
      </c>
      <c r="H360" s="5"/>
    </row>
    <row r="361" spans="1:8" x14ac:dyDescent="0.25">
      <c r="A361" s="1690"/>
      <c r="B361" s="1694" t="s">
        <v>110</v>
      </c>
      <c r="C361" s="1695">
        <v>0.05</v>
      </c>
      <c r="D361" s="1693"/>
      <c r="E361" s="1480"/>
      <c r="F361" s="1482">
        <f t="shared" si="8"/>
        <v>0</v>
      </c>
      <c r="H361" s="5"/>
    </row>
    <row r="362" spans="1:8" x14ac:dyDescent="0.25">
      <c r="A362" s="1690"/>
      <c r="B362" s="1694" t="s">
        <v>1310</v>
      </c>
      <c r="C362" s="1695">
        <v>0.02</v>
      </c>
      <c r="D362" s="1693"/>
      <c r="E362" s="1480"/>
      <c r="F362" s="1482">
        <f t="shared" si="8"/>
        <v>0</v>
      </c>
      <c r="H362" s="5"/>
    </row>
    <row r="363" spans="1:8" x14ac:dyDescent="0.25">
      <c r="A363" s="1690"/>
      <c r="B363" s="1697" t="s">
        <v>1311</v>
      </c>
      <c r="C363" s="1695">
        <v>0.1</v>
      </c>
      <c r="D363" s="1692"/>
      <c r="E363" s="1482"/>
      <c r="F363" s="1482">
        <f t="shared" si="8"/>
        <v>0</v>
      </c>
      <c r="H363" s="5"/>
    </row>
    <row r="364" spans="1:8" x14ac:dyDescent="0.25">
      <c r="A364" s="1690"/>
      <c r="B364" s="1697" t="s">
        <v>1312</v>
      </c>
      <c r="C364" s="1698">
        <v>2</v>
      </c>
      <c r="D364" s="1692" t="s">
        <v>8</v>
      </c>
      <c r="E364" s="1482"/>
      <c r="F364" s="1482">
        <f t="shared" si="8"/>
        <v>0</v>
      </c>
      <c r="H364" s="5"/>
    </row>
    <row r="365" spans="1:8" x14ac:dyDescent="0.25">
      <c r="A365" s="1690"/>
      <c r="B365" s="1697" t="s">
        <v>1364</v>
      </c>
      <c r="C365" s="1698">
        <v>1</v>
      </c>
      <c r="D365" s="1692" t="s">
        <v>8</v>
      </c>
      <c r="E365" s="1482"/>
      <c r="F365" s="1482">
        <f t="shared" si="8"/>
        <v>0</v>
      </c>
      <c r="H365" s="5"/>
    </row>
    <row r="366" spans="1:8" s="13" customFormat="1" x14ac:dyDescent="0.25">
      <c r="A366" s="1690"/>
      <c r="B366" s="1699" t="s">
        <v>111</v>
      </c>
      <c r="C366" s="1692"/>
      <c r="D366" s="1693"/>
      <c r="E366" s="1480"/>
      <c r="F366" s="1483">
        <f>SUM(F354:F365)</f>
        <v>0</v>
      </c>
      <c r="H366" s="14"/>
    </row>
    <row r="367" spans="1:8" ht="5.0999999999999996" customHeight="1" x14ac:dyDescent="0.25">
      <c r="A367" s="1690"/>
      <c r="B367" s="1700"/>
      <c r="C367" s="1692"/>
      <c r="D367" s="1693"/>
      <c r="E367" s="1480"/>
      <c r="F367" s="1482"/>
    </row>
    <row r="368" spans="1:8" s="1394" customFormat="1" x14ac:dyDescent="0.25">
      <c r="A368" s="1701"/>
      <c r="B368" s="1702" t="s">
        <v>112</v>
      </c>
      <c r="C368" s="1703"/>
      <c r="D368" s="1704"/>
      <c r="E368" s="1484"/>
      <c r="F368" s="1485">
        <f>+F366+F352</f>
        <v>0</v>
      </c>
    </row>
    <row r="369" spans="1:8" x14ac:dyDescent="0.25">
      <c r="A369" s="1705"/>
      <c r="B369" s="1706"/>
      <c r="C369" s="1707"/>
      <c r="D369" s="1708"/>
      <c r="E369" s="1486"/>
      <c r="F369" s="1487"/>
      <c r="G369" s="1420"/>
      <c r="H369" s="1414"/>
    </row>
    <row r="370" spans="1:8" s="1394" customFormat="1" x14ac:dyDescent="0.25">
      <c r="A370" s="1709"/>
      <c r="B370" s="1710" t="s">
        <v>113</v>
      </c>
      <c r="C370" s="1711"/>
      <c r="D370" s="1712"/>
      <c r="E370" s="1488"/>
      <c r="F370" s="1489">
        <f>+F368</f>
        <v>0</v>
      </c>
      <c r="G370" s="1421"/>
      <c r="H370" s="1419"/>
    </row>
    <row r="371" spans="1:8" x14ac:dyDescent="0.25">
      <c r="A371" s="1490"/>
      <c r="B371" s="1491"/>
      <c r="C371" s="1424"/>
      <c r="D371" s="1492"/>
      <c r="E371" s="1493"/>
      <c r="F371" s="1494"/>
      <c r="G371" s="1414"/>
      <c r="H371" s="1414"/>
    </row>
    <row r="372" spans="1:8" x14ac:dyDescent="0.25">
      <c r="A372" s="1490"/>
      <c r="B372" s="1491"/>
      <c r="C372" s="1424"/>
      <c r="D372" s="1492"/>
      <c r="E372" s="1493"/>
      <c r="F372" s="1495"/>
    </row>
    <row r="373" spans="1:8" x14ac:dyDescent="0.25">
      <c r="A373" s="20"/>
      <c r="B373" s="21"/>
      <c r="C373" s="22"/>
      <c r="D373" s="1714"/>
      <c r="E373" s="1714"/>
      <c r="F373" s="1714"/>
    </row>
    <row r="374" spans="1:8" x14ac:dyDescent="0.25">
      <c r="A374" s="20"/>
      <c r="B374" s="21"/>
      <c r="C374" s="22"/>
      <c r="D374" s="1410"/>
      <c r="E374" s="1410"/>
      <c r="F374" s="1410"/>
    </row>
    <row r="375" spans="1:8" x14ac:dyDescent="0.2">
      <c r="A375" s="20"/>
      <c r="B375" s="23"/>
      <c r="C375" s="24"/>
      <c r="D375" s="25"/>
      <c r="E375" s="26"/>
      <c r="F375" s="27"/>
    </row>
    <row r="376" spans="1:8" x14ac:dyDescent="0.25">
      <c r="A376" s="20"/>
      <c r="B376" s="24"/>
      <c r="C376" s="22"/>
      <c r="D376" s="22"/>
      <c r="E376" s="22"/>
      <c r="F376" s="22"/>
    </row>
    <row r="377" spans="1:8" x14ac:dyDescent="0.25">
      <c r="A377" s="28"/>
      <c r="B377" s="22"/>
      <c r="C377" s="29"/>
      <c r="D377" s="30"/>
      <c r="E377" s="31"/>
      <c r="F377" s="29"/>
    </row>
    <row r="378" spans="1:8" x14ac:dyDescent="0.25">
      <c r="A378" s="28"/>
      <c r="B378" s="29"/>
      <c r="C378" s="29"/>
      <c r="D378" s="30"/>
      <c r="E378" s="31"/>
      <c r="F378" s="29"/>
    </row>
    <row r="379" spans="1:8" x14ac:dyDescent="0.25">
      <c r="A379" s="28"/>
      <c r="B379" s="29"/>
      <c r="C379" s="29"/>
      <c r="D379" s="30"/>
      <c r="E379" s="31"/>
      <c r="F379" s="29"/>
    </row>
    <row r="380" spans="1:8" x14ac:dyDescent="0.25">
      <c r="A380" s="28"/>
      <c r="B380" s="29"/>
      <c r="C380" s="29"/>
      <c r="D380" s="30"/>
      <c r="E380" s="31"/>
      <c r="F380" s="29"/>
    </row>
    <row r="381" spans="1:8" x14ac:dyDescent="0.25">
      <c r="A381" s="28"/>
      <c r="B381" s="29"/>
      <c r="C381" s="29"/>
      <c r="D381" s="30"/>
      <c r="E381" s="31"/>
      <c r="F381" s="29"/>
    </row>
    <row r="382" spans="1:8" x14ac:dyDescent="0.25">
      <c r="A382" s="28"/>
      <c r="B382" s="29"/>
      <c r="C382" s="29"/>
      <c r="D382" s="30"/>
      <c r="E382" s="31"/>
      <c r="F382" s="29"/>
    </row>
    <row r="383" spans="1:8" x14ac:dyDescent="0.25">
      <c r="A383" s="28"/>
      <c r="B383" s="29"/>
      <c r="C383" s="29"/>
      <c r="D383" s="30"/>
      <c r="E383" s="31"/>
      <c r="F383" s="29"/>
    </row>
    <row r="384" spans="1:8" x14ac:dyDescent="0.25">
      <c r="A384" s="32"/>
      <c r="B384" s="1411"/>
      <c r="C384" s="33"/>
      <c r="D384" s="34"/>
      <c r="E384" s="35"/>
      <c r="F384" s="33"/>
    </row>
    <row r="385" spans="1:6" x14ac:dyDescent="0.2">
      <c r="A385" s="36"/>
      <c r="B385" s="34"/>
      <c r="C385" s="1715"/>
      <c r="D385" s="1715"/>
      <c r="E385" s="1715"/>
      <c r="F385" s="1715"/>
    </row>
    <row r="386" spans="1:6" x14ac:dyDescent="0.2">
      <c r="A386" s="36"/>
      <c r="B386" s="34"/>
      <c r="C386" s="1411"/>
      <c r="D386" s="1411"/>
      <c r="E386" s="1411"/>
      <c r="F386" s="1411"/>
    </row>
    <row r="387" spans="1:6" x14ac:dyDescent="0.25">
      <c r="A387" s="32"/>
      <c r="B387" s="34"/>
      <c r="C387" s="33"/>
      <c r="D387" s="34"/>
      <c r="E387" s="35"/>
      <c r="F387" s="33"/>
    </row>
    <row r="388" spans="1:6" x14ac:dyDescent="0.25">
      <c r="A388" s="37"/>
      <c r="B388" s="34"/>
      <c r="C388" s="1716"/>
      <c r="D388" s="1716"/>
      <c r="E388" s="1716"/>
      <c r="F388" s="1716"/>
    </row>
    <row r="389" spans="1:6" x14ac:dyDescent="0.25">
      <c r="A389" s="28"/>
      <c r="B389" s="38"/>
      <c r="C389" s="1716"/>
      <c r="D389" s="1716"/>
      <c r="E389" s="1716"/>
      <c r="F389" s="1716"/>
    </row>
  </sheetData>
  <sheetProtection algorithmName="SHA-512" hashValue="bofTMkkWbVmzyuQeXLC/9wm5jqBQzpN2f2D/D6bfdDQEKV9evdv9IjFKgYoq1Grr36Dmrzi+D5fy23vUsDYC7w==" saltValue="zHS8GBkYnYCZOIK7n2ZFsw==" spinCount="100000" sheet="1" objects="1" scenarios="1"/>
  <mergeCells count="12">
    <mergeCell ref="A8:B8"/>
    <mergeCell ref="D8:E8"/>
    <mergeCell ref="A1:F1"/>
    <mergeCell ref="A2:F2"/>
    <mergeCell ref="A3:F3"/>
    <mergeCell ref="A4:F4"/>
    <mergeCell ref="A7:F7"/>
    <mergeCell ref="A9:F9"/>
    <mergeCell ref="D373:F373"/>
    <mergeCell ref="C385:F385"/>
    <mergeCell ref="C388:F388"/>
    <mergeCell ref="C389:F389"/>
  </mergeCells>
  <printOptions horizontalCentered="1"/>
  <pageMargins left="0.70866141732283472" right="0.70866141732283472" top="0.74803149606299213" bottom="0.74803149606299213" header="0.31496062992125984" footer="0.31496062992125984"/>
  <pageSetup paperSize="7" scale="65" orientation="portrait" r:id="rId1"/>
  <headerFooter>
    <oddFooter>&amp;C&amp;P</oddFooter>
  </headerFooter>
  <rowBreaks count="6" manualBreakCount="6">
    <brk id="50" max="5" man="1"/>
    <brk id="94" max="16383" man="1"/>
    <brk id="145" max="16383" man="1"/>
    <brk id="194" max="16383" man="1"/>
    <brk id="235" max="16383" man="1"/>
    <brk id="286" max="16383"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V7216"/>
  <sheetViews>
    <sheetView topLeftCell="A1260" zoomScaleNormal="100" zoomScaleSheetLayoutView="100" workbookViewId="0">
      <selection activeCell="E1308" sqref="E1308"/>
    </sheetView>
  </sheetViews>
  <sheetFormatPr baseColWidth="10" defaultColWidth="11.5703125" defaultRowHeight="11.85" customHeight="1" x14ac:dyDescent="0.2"/>
  <cols>
    <col min="1" max="1" width="11.28515625" style="130" customWidth="1"/>
    <col min="2" max="2" width="47.5703125" style="130" customWidth="1"/>
    <col min="3" max="3" width="10.5703125" style="177" customWidth="1"/>
    <col min="4" max="4" width="6.85546875" style="69" customWidth="1"/>
    <col min="5" max="5" width="12.5703125" style="177" customWidth="1"/>
    <col min="6" max="6" width="15.5703125" style="177" customWidth="1"/>
    <col min="7" max="7" width="6.28515625" style="66" bestFit="1" customWidth="1"/>
    <col min="8" max="8" width="11.28515625" style="66" customWidth="1"/>
    <col min="9" max="9" width="58.5703125" style="66" customWidth="1"/>
    <col min="10" max="10" width="8.85546875" style="67" customWidth="1"/>
    <col min="11" max="11" width="10.140625" style="68" customWidth="1"/>
    <col min="12" max="15" width="11.42578125" style="68"/>
    <col min="16" max="16" width="25.140625" style="68" customWidth="1"/>
    <col min="17" max="253" width="11.42578125" style="68"/>
    <col min="254" max="254" width="25" style="68" customWidth="1"/>
    <col min="255" max="256" width="11.42578125" style="68"/>
    <col min="257" max="257" width="11.28515625" style="68" customWidth="1"/>
    <col min="258" max="258" width="47.5703125" style="68" customWidth="1"/>
    <col min="259" max="259" width="10.5703125" style="68" customWidth="1"/>
    <col min="260" max="260" width="6.85546875" style="68" customWidth="1"/>
    <col min="261" max="261" width="12.5703125" style="68" customWidth="1"/>
    <col min="262" max="262" width="15.5703125" style="68" customWidth="1"/>
    <col min="263" max="263" width="6.28515625" style="68" bestFit="1" customWidth="1"/>
    <col min="264" max="264" width="11.28515625" style="68" customWidth="1"/>
    <col min="265" max="265" width="14.28515625" style="68" customWidth="1"/>
    <col min="266" max="266" width="8.85546875" style="68" customWidth="1"/>
    <col min="267" max="267" width="10.140625" style="68" customWidth="1"/>
    <col min="268" max="271" width="11.42578125" style="68"/>
    <col min="272" max="272" width="25.140625" style="68" customWidth="1"/>
    <col min="273" max="509" width="11.42578125" style="68"/>
    <col min="510" max="510" width="25" style="68" customWidth="1"/>
    <col min="511" max="512" width="11.42578125" style="68"/>
    <col min="513" max="513" width="11.28515625" style="68" customWidth="1"/>
    <col min="514" max="514" width="47.5703125" style="68" customWidth="1"/>
    <col min="515" max="515" width="10.5703125" style="68" customWidth="1"/>
    <col min="516" max="516" width="6.85546875" style="68" customWidth="1"/>
    <col min="517" max="517" width="12.5703125" style="68" customWidth="1"/>
    <col min="518" max="518" width="15.5703125" style="68" customWidth="1"/>
    <col min="519" max="519" width="6.28515625" style="68" bestFit="1" customWidth="1"/>
    <col min="520" max="520" width="11.28515625" style="68" customWidth="1"/>
    <col min="521" max="521" width="14.28515625" style="68" customWidth="1"/>
    <col min="522" max="522" width="8.85546875" style="68" customWidth="1"/>
    <col min="523" max="523" width="10.140625" style="68" customWidth="1"/>
    <col min="524" max="527" width="11.42578125" style="68"/>
    <col min="528" max="528" width="25.140625" style="68" customWidth="1"/>
    <col min="529" max="765" width="11.42578125" style="68"/>
    <col min="766" max="766" width="25" style="68" customWidth="1"/>
    <col min="767" max="768" width="11.42578125" style="68"/>
    <col min="769" max="769" width="11.28515625" style="68" customWidth="1"/>
    <col min="770" max="770" width="47.5703125" style="68" customWidth="1"/>
    <col min="771" max="771" width="10.5703125" style="68" customWidth="1"/>
    <col min="772" max="772" width="6.85546875" style="68" customWidth="1"/>
    <col min="773" max="773" width="12.5703125" style="68" customWidth="1"/>
    <col min="774" max="774" width="15.5703125" style="68" customWidth="1"/>
    <col min="775" max="775" width="6.28515625" style="68" bestFit="1" customWidth="1"/>
    <col min="776" max="776" width="11.28515625" style="68" customWidth="1"/>
    <col min="777" max="777" width="14.28515625" style="68" customWidth="1"/>
    <col min="778" max="778" width="8.85546875" style="68" customWidth="1"/>
    <col min="779" max="779" width="10.140625" style="68" customWidth="1"/>
    <col min="780" max="783" width="11.42578125" style="68"/>
    <col min="784" max="784" width="25.140625" style="68" customWidth="1"/>
    <col min="785" max="1021" width="11.42578125" style="68"/>
    <col min="1022" max="1022" width="25" style="68" customWidth="1"/>
    <col min="1023" max="1024" width="11.42578125" style="68"/>
    <col min="1025" max="1025" width="11.28515625" style="68" customWidth="1"/>
    <col min="1026" max="1026" width="47.5703125" style="68" customWidth="1"/>
    <col min="1027" max="1027" width="10.5703125" style="68" customWidth="1"/>
    <col min="1028" max="1028" width="6.85546875" style="68" customWidth="1"/>
    <col min="1029" max="1029" width="12.5703125" style="68" customWidth="1"/>
    <col min="1030" max="1030" width="15.5703125" style="68" customWidth="1"/>
    <col min="1031" max="1031" width="6.28515625" style="68" bestFit="1" customWidth="1"/>
    <col min="1032" max="1032" width="11.28515625" style="68" customWidth="1"/>
    <col min="1033" max="1033" width="14.28515625" style="68" customWidth="1"/>
    <col min="1034" max="1034" width="8.85546875" style="68" customWidth="1"/>
    <col min="1035" max="1035" width="10.140625" style="68" customWidth="1"/>
    <col min="1036" max="1039" width="11.42578125" style="68"/>
    <col min="1040" max="1040" width="25.140625" style="68" customWidth="1"/>
    <col min="1041" max="1277" width="11.42578125" style="68"/>
    <col min="1278" max="1278" width="25" style="68" customWidth="1"/>
    <col min="1279" max="1280" width="11.42578125" style="68"/>
    <col min="1281" max="1281" width="11.28515625" style="68" customWidth="1"/>
    <col min="1282" max="1282" width="47.5703125" style="68" customWidth="1"/>
    <col min="1283" max="1283" width="10.5703125" style="68" customWidth="1"/>
    <col min="1284" max="1284" width="6.85546875" style="68" customWidth="1"/>
    <col min="1285" max="1285" width="12.5703125" style="68" customWidth="1"/>
    <col min="1286" max="1286" width="15.5703125" style="68" customWidth="1"/>
    <col min="1287" max="1287" width="6.28515625" style="68" bestFit="1" customWidth="1"/>
    <col min="1288" max="1288" width="11.28515625" style="68" customWidth="1"/>
    <col min="1289" max="1289" width="14.28515625" style="68" customWidth="1"/>
    <col min="1290" max="1290" width="8.85546875" style="68" customWidth="1"/>
    <col min="1291" max="1291" width="10.140625" style="68" customWidth="1"/>
    <col min="1292" max="1295" width="11.42578125" style="68"/>
    <col min="1296" max="1296" width="25.140625" style="68" customWidth="1"/>
    <col min="1297" max="1533" width="11.42578125" style="68"/>
    <col min="1534" max="1534" width="25" style="68" customWidth="1"/>
    <col min="1535" max="1536" width="11.42578125" style="68"/>
    <col min="1537" max="1537" width="11.28515625" style="68" customWidth="1"/>
    <col min="1538" max="1538" width="47.5703125" style="68" customWidth="1"/>
    <col min="1539" max="1539" width="10.5703125" style="68" customWidth="1"/>
    <col min="1540" max="1540" width="6.85546875" style="68" customWidth="1"/>
    <col min="1541" max="1541" width="12.5703125" style="68" customWidth="1"/>
    <col min="1542" max="1542" width="15.5703125" style="68" customWidth="1"/>
    <col min="1543" max="1543" width="6.28515625" style="68" bestFit="1" customWidth="1"/>
    <col min="1544" max="1544" width="11.28515625" style="68" customWidth="1"/>
    <col min="1545" max="1545" width="14.28515625" style="68" customWidth="1"/>
    <col min="1546" max="1546" width="8.85546875" style="68" customWidth="1"/>
    <col min="1547" max="1547" width="10.140625" style="68" customWidth="1"/>
    <col min="1548" max="1551" width="11.42578125" style="68"/>
    <col min="1552" max="1552" width="25.140625" style="68" customWidth="1"/>
    <col min="1553" max="1789" width="11.42578125" style="68"/>
    <col min="1790" max="1790" width="25" style="68" customWidth="1"/>
    <col min="1791" max="1792" width="11.42578125" style="68"/>
    <col min="1793" max="1793" width="11.28515625" style="68" customWidth="1"/>
    <col min="1794" max="1794" width="47.5703125" style="68" customWidth="1"/>
    <col min="1795" max="1795" width="10.5703125" style="68" customWidth="1"/>
    <col min="1796" max="1796" width="6.85546875" style="68" customWidth="1"/>
    <col min="1797" max="1797" width="12.5703125" style="68" customWidth="1"/>
    <col min="1798" max="1798" width="15.5703125" style="68" customWidth="1"/>
    <col min="1799" max="1799" width="6.28515625" style="68" bestFit="1" customWidth="1"/>
    <col min="1800" max="1800" width="11.28515625" style="68" customWidth="1"/>
    <col min="1801" max="1801" width="14.28515625" style="68" customWidth="1"/>
    <col min="1802" max="1802" width="8.85546875" style="68" customWidth="1"/>
    <col min="1803" max="1803" width="10.140625" style="68" customWidth="1"/>
    <col min="1804" max="1807" width="11.42578125" style="68"/>
    <col min="1808" max="1808" width="25.140625" style="68" customWidth="1"/>
    <col min="1809" max="2045" width="11.42578125" style="68"/>
    <col min="2046" max="2046" width="25" style="68" customWidth="1"/>
    <col min="2047" max="2048" width="11.42578125" style="68"/>
    <col min="2049" max="2049" width="11.28515625" style="68" customWidth="1"/>
    <col min="2050" max="2050" width="47.5703125" style="68" customWidth="1"/>
    <col min="2051" max="2051" width="10.5703125" style="68" customWidth="1"/>
    <col min="2052" max="2052" width="6.85546875" style="68" customWidth="1"/>
    <col min="2053" max="2053" width="12.5703125" style="68" customWidth="1"/>
    <col min="2054" max="2054" width="15.5703125" style="68" customWidth="1"/>
    <col min="2055" max="2055" width="6.28515625" style="68" bestFit="1" customWidth="1"/>
    <col min="2056" max="2056" width="11.28515625" style="68" customWidth="1"/>
    <col min="2057" max="2057" width="14.28515625" style="68" customWidth="1"/>
    <col min="2058" max="2058" width="8.85546875" style="68" customWidth="1"/>
    <col min="2059" max="2059" width="10.140625" style="68" customWidth="1"/>
    <col min="2060" max="2063" width="11.42578125" style="68"/>
    <col min="2064" max="2064" width="25.140625" style="68" customWidth="1"/>
    <col min="2065" max="2301" width="11.42578125" style="68"/>
    <col min="2302" max="2302" width="25" style="68" customWidth="1"/>
    <col min="2303" max="2304" width="11.42578125" style="68"/>
    <col min="2305" max="2305" width="11.28515625" style="68" customWidth="1"/>
    <col min="2306" max="2306" width="47.5703125" style="68" customWidth="1"/>
    <col min="2307" max="2307" width="10.5703125" style="68" customWidth="1"/>
    <col min="2308" max="2308" width="6.85546875" style="68" customWidth="1"/>
    <col min="2309" max="2309" width="12.5703125" style="68" customWidth="1"/>
    <col min="2310" max="2310" width="15.5703125" style="68" customWidth="1"/>
    <col min="2311" max="2311" width="6.28515625" style="68" bestFit="1" customWidth="1"/>
    <col min="2312" max="2312" width="11.28515625" style="68" customWidth="1"/>
    <col min="2313" max="2313" width="14.28515625" style="68" customWidth="1"/>
    <col min="2314" max="2314" width="8.85546875" style="68" customWidth="1"/>
    <col min="2315" max="2315" width="10.140625" style="68" customWidth="1"/>
    <col min="2316" max="2319" width="11.42578125" style="68"/>
    <col min="2320" max="2320" width="25.140625" style="68" customWidth="1"/>
    <col min="2321" max="2557" width="11.42578125" style="68"/>
    <col min="2558" max="2558" width="25" style="68" customWidth="1"/>
    <col min="2559" max="2560" width="11.42578125" style="68"/>
    <col min="2561" max="2561" width="11.28515625" style="68" customWidth="1"/>
    <col min="2562" max="2562" width="47.5703125" style="68" customWidth="1"/>
    <col min="2563" max="2563" width="10.5703125" style="68" customWidth="1"/>
    <col min="2564" max="2564" width="6.85546875" style="68" customWidth="1"/>
    <col min="2565" max="2565" width="12.5703125" style="68" customWidth="1"/>
    <col min="2566" max="2566" width="15.5703125" style="68" customWidth="1"/>
    <col min="2567" max="2567" width="6.28515625" style="68" bestFit="1" customWidth="1"/>
    <col min="2568" max="2568" width="11.28515625" style="68" customWidth="1"/>
    <col min="2569" max="2569" width="14.28515625" style="68" customWidth="1"/>
    <col min="2570" max="2570" width="8.85546875" style="68" customWidth="1"/>
    <col min="2571" max="2571" width="10.140625" style="68" customWidth="1"/>
    <col min="2572" max="2575" width="11.42578125" style="68"/>
    <col min="2576" max="2576" width="25.140625" style="68" customWidth="1"/>
    <col min="2577" max="2813" width="11.42578125" style="68"/>
    <col min="2814" max="2814" width="25" style="68" customWidth="1"/>
    <col min="2815" max="2816" width="11.42578125" style="68"/>
    <col min="2817" max="2817" width="11.28515625" style="68" customWidth="1"/>
    <col min="2818" max="2818" width="47.5703125" style="68" customWidth="1"/>
    <col min="2819" max="2819" width="10.5703125" style="68" customWidth="1"/>
    <col min="2820" max="2820" width="6.85546875" style="68" customWidth="1"/>
    <col min="2821" max="2821" width="12.5703125" style="68" customWidth="1"/>
    <col min="2822" max="2822" width="15.5703125" style="68" customWidth="1"/>
    <col min="2823" max="2823" width="6.28515625" style="68" bestFit="1" customWidth="1"/>
    <col min="2824" max="2824" width="11.28515625" style="68" customWidth="1"/>
    <col min="2825" max="2825" width="14.28515625" style="68" customWidth="1"/>
    <col min="2826" max="2826" width="8.85546875" style="68" customWidth="1"/>
    <col min="2827" max="2827" width="10.140625" style="68" customWidth="1"/>
    <col min="2828" max="2831" width="11.42578125" style="68"/>
    <col min="2832" max="2832" width="25.140625" style="68" customWidth="1"/>
    <col min="2833" max="3069" width="11.42578125" style="68"/>
    <col min="3070" max="3070" width="25" style="68" customWidth="1"/>
    <col min="3071" max="3072" width="11.42578125" style="68"/>
    <col min="3073" max="3073" width="11.28515625" style="68" customWidth="1"/>
    <col min="3074" max="3074" width="47.5703125" style="68" customWidth="1"/>
    <col min="3075" max="3075" width="10.5703125" style="68" customWidth="1"/>
    <col min="3076" max="3076" width="6.85546875" style="68" customWidth="1"/>
    <col min="3077" max="3077" width="12.5703125" style="68" customWidth="1"/>
    <col min="3078" max="3078" width="15.5703125" style="68" customWidth="1"/>
    <col min="3079" max="3079" width="6.28515625" style="68" bestFit="1" customWidth="1"/>
    <col min="3080" max="3080" width="11.28515625" style="68" customWidth="1"/>
    <col min="3081" max="3081" width="14.28515625" style="68" customWidth="1"/>
    <col min="3082" max="3082" width="8.85546875" style="68" customWidth="1"/>
    <col min="3083" max="3083" width="10.140625" style="68" customWidth="1"/>
    <col min="3084" max="3087" width="11.42578125" style="68"/>
    <col min="3088" max="3088" width="25.140625" style="68" customWidth="1"/>
    <col min="3089" max="3325" width="11.42578125" style="68"/>
    <col min="3326" max="3326" width="25" style="68" customWidth="1"/>
    <col min="3327" max="3328" width="11.42578125" style="68"/>
    <col min="3329" max="3329" width="11.28515625" style="68" customWidth="1"/>
    <col min="3330" max="3330" width="47.5703125" style="68" customWidth="1"/>
    <col min="3331" max="3331" width="10.5703125" style="68" customWidth="1"/>
    <col min="3332" max="3332" width="6.85546875" style="68" customWidth="1"/>
    <col min="3333" max="3333" width="12.5703125" style="68" customWidth="1"/>
    <col min="3334" max="3334" width="15.5703125" style="68" customWidth="1"/>
    <col min="3335" max="3335" width="6.28515625" style="68" bestFit="1" customWidth="1"/>
    <col min="3336" max="3336" width="11.28515625" style="68" customWidth="1"/>
    <col min="3337" max="3337" width="14.28515625" style="68" customWidth="1"/>
    <col min="3338" max="3338" width="8.85546875" style="68" customWidth="1"/>
    <col min="3339" max="3339" width="10.140625" style="68" customWidth="1"/>
    <col min="3340" max="3343" width="11.42578125" style="68"/>
    <col min="3344" max="3344" width="25.140625" style="68" customWidth="1"/>
    <col min="3345" max="3581" width="11.42578125" style="68"/>
    <col min="3582" max="3582" width="25" style="68" customWidth="1"/>
    <col min="3583" max="3584" width="11.42578125" style="68"/>
    <col min="3585" max="3585" width="11.28515625" style="68" customWidth="1"/>
    <col min="3586" max="3586" width="47.5703125" style="68" customWidth="1"/>
    <col min="3587" max="3587" width="10.5703125" style="68" customWidth="1"/>
    <col min="3588" max="3588" width="6.85546875" style="68" customWidth="1"/>
    <col min="3589" max="3589" width="12.5703125" style="68" customWidth="1"/>
    <col min="3590" max="3590" width="15.5703125" style="68" customWidth="1"/>
    <col min="3591" max="3591" width="6.28515625" style="68" bestFit="1" customWidth="1"/>
    <col min="3592" max="3592" width="11.28515625" style="68" customWidth="1"/>
    <col min="3593" max="3593" width="14.28515625" style="68" customWidth="1"/>
    <col min="3594" max="3594" width="8.85546875" style="68" customWidth="1"/>
    <col min="3595" max="3595" width="10.140625" style="68" customWidth="1"/>
    <col min="3596" max="3599" width="11.42578125" style="68"/>
    <col min="3600" max="3600" width="25.140625" style="68" customWidth="1"/>
    <col min="3601" max="3837" width="11.42578125" style="68"/>
    <col min="3838" max="3838" width="25" style="68" customWidth="1"/>
    <col min="3839" max="3840" width="11.42578125" style="68"/>
    <col min="3841" max="3841" width="11.28515625" style="68" customWidth="1"/>
    <col min="3842" max="3842" width="47.5703125" style="68" customWidth="1"/>
    <col min="3843" max="3843" width="10.5703125" style="68" customWidth="1"/>
    <col min="3844" max="3844" width="6.85546875" style="68" customWidth="1"/>
    <col min="3845" max="3845" width="12.5703125" style="68" customWidth="1"/>
    <col min="3846" max="3846" width="15.5703125" style="68" customWidth="1"/>
    <col min="3847" max="3847" width="6.28515625" style="68" bestFit="1" customWidth="1"/>
    <col min="3848" max="3848" width="11.28515625" style="68" customWidth="1"/>
    <col min="3849" max="3849" width="14.28515625" style="68" customWidth="1"/>
    <col min="3850" max="3850" width="8.85546875" style="68" customWidth="1"/>
    <col min="3851" max="3851" width="10.140625" style="68" customWidth="1"/>
    <col min="3852" max="3855" width="11.42578125" style="68"/>
    <col min="3856" max="3856" width="25.140625" style="68" customWidth="1"/>
    <col min="3857" max="4093" width="11.42578125" style="68"/>
    <col min="4094" max="4094" width="25" style="68" customWidth="1"/>
    <col min="4095" max="4096" width="11.42578125" style="68"/>
    <col min="4097" max="4097" width="11.28515625" style="68" customWidth="1"/>
    <col min="4098" max="4098" width="47.5703125" style="68" customWidth="1"/>
    <col min="4099" max="4099" width="10.5703125" style="68" customWidth="1"/>
    <col min="4100" max="4100" width="6.85546875" style="68" customWidth="1"/>
    <col min="4101" max="4101" width="12.5703125" style="68" customWidth="1"/>
    <col min="4102" max="4102" width="15.5703125" style="68" customWidth="1"/>
    <col min="4103" max="4103" width="6.28515625" style="68" bestFit="1" customWidth="1"/>
    <col min="4104" max="4104" width="11.28515625" style="68" customWidth="1"/>
    <col min="4105" max="4105" width="14.28515625" style="68" customWidth="1"/>
    <col min="4106" max="4106" width="8.85546875" style="68" customWidth="1"/>
    <col min="4107" max="4107" width="10.140625" style="68" customWidth="1"/>
    <col min="4108" max="4111" width="11.42578125" style="68"/>
    <col min="4112" max="4112" width="25.140625" style="68" customWidth="1"/>
    <col min="4113" max="4349" width="11.42578125" style="68"/>
    <col min="4350" max="4350" width="25" style="68" customWidth="1"/>
    <col min="4351" max="4352" width="11.42578125" style="68"/>
    <col min="4353" max="4353" width="11.28515625" style="68" customWidth="1"/>
    <col min="4354" max="4354" width="47.5703125" style="68" customWidth="1"/>
    <col min="4355" max="4355" width="10.5703125" style="68" customWidth="1"/>
    <col min="4356" max="4356" width="6.85546875" style="68" customWidth="1"/>
    <col min="4357" max="4357" width="12.5703125" style="68" customWidth="1"/>
    <col min="4358" max="4358" width="15.5703125" style="68" customWidth="1"/>
    <col min="4359" max="4359" width="6.28515625" style="68" bestFit="1" customWidth="1"/>
    <col min="4360" max="4360" width="11.28515625" style="68" customWidth="1"/>
    <col min="4361" max="4361" width="14.28515625" style="68" customWidth="1"/>
    <col min="4362" max="4362" width="8.85546875" style="68" customWidth="1"/>
    <col min="4363" max="4363" width="10.140625" style="68" customWidth="1"/>
    <col min="4364" max="4367" width="11.42578125" style="68"/>
    <col min="4368" max="4368" width="25.140625" style="68" customWidth="1"/>
    <col min="4369" max="4605" width="11.42578125" style="68"/>
    <col min="4606" max="4606" width="25" style="68" customWidth="1"/>
    <col min="4607" max="4608" width="11.42578125" style="68"/>
    <col min="4609" max="4609" width="11.28515625" style="68" customWidth="1"/>
    <col min="4610" max="4610" width="47.5703125" style="68" customWidth="1"/>
    <col min="4611" max="4611" width="10.5703125" style="68" customWidth="1"/>
    <col min="4612" max="4612" width="6.85546875" style="68" customWidth="1"/>
    <col min="4613" max="4613" width="12.5703125" style="68" customWidth="1"/>
    <col min="4614" max="4614" width="15.5703125" style="68" customWidth="1"/>
    <col min="4615" max="4615" width="6.28515625" style="68" bestFit="1" customWidth="1"/>
    <col min="4616" max="4616" width="11.28515625" style="68" customWidth="1"/>
    <col min="4617" max="4617" width="14.28515625" style="68" customWidth="1"/>
    <col min="4618" max="4618" width="8.85546875" style="68" customWidth="1"/>
    <col min="4619" max="4619" width="10.140625" style="68" customWidth="1"/>
    <col min="4620" max="4623" width="11.42578125" style="68"/>
    <col min="4624" max="4624" width="25.140625" style="68" customWidth="1"/>
    <col min="4625" max="4861" width="11.42578125" style="68"/>
    <col min="4862" max="4862" width="25" style="68" customWidth="1"/>
    <col min="4863" max="4864" width="11.42578125" style="68"/>
    <col min="4865" max="4865" width="11.28515625" style="68" customWidth="1"/>
    <col min="4866" max="4866" width="47.5703125" style="68" customWidth="1"/>
    <col min="4867" max="4867" width="10.5703125" style="68" customWidth="1"/>
    <col min="4868" max="4868" width="6.85546875" style="68" customWidth="1"/>
    <col min="4869" max="4869" width="12.5703125" style="68" customWidth="1"/>
    <col min="4870" max="4870" width="15.5703125" style="68" customWidth="1"/>
    <col min="4871" max="4871" width="6.28515625" style="68" bestFit="1" customWidth="1"/>
    <col min="4872" max="4872" width="11.28515625" style="68" customWidth="1"/>
    <col min="4873" max="4873" width="14.28515625" style="68" customWidth="1"/>
    <col min="4874" max="4874" width="8.85546875" style="68" customWidth="1"/>
    <col min="4875" max="4875" width="10.140625" style="68" customWidth="1"/>
    <col min="4876" max="4879" width="11.42578125" style="68"/>
    <col min="4880" max="4880" width="25.140625" style="68" customWidth="1"/>
    <col min="4881" max="5117" width="11.42578125" style="68"/>
    <col min="5118" max="5118" width="25" style="68" customWidth="1"/>
    <col min="5119" max="5120" width="11.42578125" style="68"/>
    <col min="5121" max="5121" width="11.28515625" style="68" customWidth="1"/>
    <col min="5122" max="5122" width="47.5703125" style="68" customWidth="1"/>
    <col min="5123" max="5123" width="10.5703125" style="68" customWidth="1"/>
    <col min="5124" max="5124" width="6.85546875" style="68" customWidth="1"/>
    <col min="5125" max="5125" width="12.5703125" style="68" customWidth="1"/>
    <col min="5126" max="5126" width="15.5703125" style="68" customWidth="1"/>
    <col min="5127" max="5127" width="6.28515625" style="68" bestFit="1" customWidth="1"/>
    <col min="5128" max="5128" width="11.28515625" style="68" customWidth="1"/>
    <col min="5129" max="5129" width="14.28515625" style="68" customWidth="1"/>
    <col min="5130" max="5130" width="8.85546875" style="68" customWidth="1"/>
    <col min="5131" max="5131" width="10.140625" style="68" customWidth="1"/>
    <col min="5132" max="5135" width="11.42578125" style="68"/>
    <col min="5136" max="5136" width="25.140625" style="68" customWidth="1"/>
    <col min="5137" max="5373" width="11.42578125" style="68"/>
    <col min="5374" max="5374" width="25" style="68" customWidth="1"/>
    <col min="5375" max="5376" width="11.42578125" style="68"/>
    <col min="5377" max="5377" width="11.28515625" style="68" customWidth="1"/>
    <col min="5378" max="5378" width="47.5703125" style="68" customWidth="1"/>
    <col min="5379" max="5379" width="10.5703125" style="68" customWidth="1"/>
    <col min="5380" max="5380" width="6.85546875" style="68" customWidth="1"/>
    <col min="5381" max="5381" width="12.5703125" style="68" customWidth="1"/>
    <col min="5382" max="5382" width="15.5703125" style="68" customWidth="1"/>
    <col min="5383" max="5383" width="6.28515625" style="68" bestFit="1" customWidth="1"/>
    <col min="5384" max="5384" width="11.28515625" style="68" customWidth="1"/>
    <col min="5385" max="5385" width="14.28515625" style="68" customWidth="1"/>
    <col min="5386" max="5386" width="8.85546875" style="68" customWidth="1"/>
    <col min="5387" max="5387" width="10.140625" style="68" customWidth="1"/>
    <col min="5388" max="5391" width="11.42578125" style="68"/>
    <col min="5392" max="5392" width="25.140625" style="68" customWidth="1"/>
    <col min="5393" max="5629" width="11.42578125" style="68"/>
    <col min="5630" max="5630" width="25" style="68" customWidth="1"/>
    <col min="5631" max="5632" width="11.42578125" style="68"/>
    <col min="5633" max="5633" width="11.28515625" style="68" customWidth="1"/>
    <col min="5634" max="5634" width="47.5703125" style="68" customWidth="1"/>
    <col min="5635" max="5635" width="10.5703125" style="68" customWidth="1"/>
    <col min="5636" max="5636" width="6.85546875" style="68" customWidth="1"/>
    <col min="5637" max="5637" width="12.5703125" style="68" customWidth="1"/>
    <col min="5638" max="5638" width="15.5703125" style="68" customWidth="1"/>
    <col min="5639" max="5639" width="6.28515625" style="68" bestFit="1" customWidth="1"/>
    <col min="5640" max="5640" width="11.28515625" style="68" customWidth="1"/>
    <col min="5641" max="5641" width="14.28515625" style="68" customWidth="1"/>
    <col min="5642" max="5642" width="8.85546875" style="68" customWidth="1"/>
    <col min="5643" max="5643" width="10.140625" style="68" customWidth="1"/>
    <col min="5644" max="5647" width="11.42578125" style="68"/>
    <col min="5648" max="5648" width="25.140625" style="68" customWidth="1"/>
    <col min="5649" max="5885" width="11.42578125" style="68"/>
    <col min="5886" max="5886" width="25" style="68" customWidth="1"/>
    <col min="5887" max="5888" width="11.42578125" style="68"/>
    <col min="5889" max="5889" width="11.28515625" style="68" customWidth="1"/>
    <col min="5890" max="5890" width="47.5703125" style="68" customWidth="1"/>
    <col min="5891" max="5891" width="10.5703125" style="68" customWidth="1"/>
    <col min="5892" max="5892" width="6.85546875" style="68" customWidth="1"/>
    <col min="5893" max="5893" width="12.5703125" style="68" customWidth="1"/>
    <col min="5894" max="5894" width="15.5703125" style="68" customWidth="1"/>
    <col min="5895" max="5895" width="6.28515625" style="68" bestFit="1" customWidth="1"/>
    <col min="5896" max="5896" width="11.28515625" style="68" customWidth="1"/>
    <col min="5897" max="5897" width="14.28515625" style="68" customWidth="1"/>
    <col min="5898" max="5898" width="8.85546875" style="68" customWidth="1"/>
    <col min="5899" max="5899" width="10.140625" style="68" customWidth="1"/>
    <col min="5900" max="5903" width="11.42578125" style="68"/>
    <col min="5904" max="5904" width="25.140625" style="68" customWidth="1"/>
    <col min="5905" max="6141" width="11.42578125" style="68"/>
    <col min="6142" max="6142" width="25" style="68" customWidth="1"/>
    <col min="6143" max="6144" width="11.42578125" style="68"/>
    <col min="6145" max="6145" width="11.28515625" style="68" customWidth="1"/>
    <col min="6146" max="6146" width="47.5703125" style="68" customWidth="1"/>
    <col min="6147" max="6147" width="10.5703125" style="68" customWidth="1"/>
    <col min="6148" max="6148" width="6.85546875" style="68" customWidth="1"/>
    <col min="6149" max="6149" width="12.5703125" style="68" customWidth="1"/>
    <col min="6150" max="6150" width="15.5703125" style="68" customWidth="1"/>
    <col min="6151" max="6151" width="6.28515625" style="68" bestFit="1" customWidth="1"/>
    <col min="6152" max="6152" width="11.28515625" style="68" customWidth="1"/>
    <col min="6153" max="6153" width="14.28515625" style="68" customWidth="1"/>
    <col min="6154" max="6154" width="8.85546875" style="68" customWidth="1"/>
    <col min="6155" max="6155" width="10.140625" style="68" customWidth="1"/>
    <col min="6156" max="6159" width="11.42578125" style="68"/>
    <col min="6160" max="6160" width="25.140625" style="68" customWidth="1"/>
    <col min="6161" max="6397" width="11.42578125" style="68"/>
    <col min="6398" max="6398" width="25" style="68" customWidth="1"/>
    <col min="6399" max="6400" width="11.42578125" style="68"/>
    <col min="6401" max="6401" width="11.28515625" style="68" customWidth="1"/>
    <col min="6402" max="6402" width="47.5703125" style="68" customWidth="1"/>
    <col min="6403" max="6403" width="10.5703125" style="68" customWidth="1"/>
    <col min="6404" max="6404" width="6.85546875" style="68" customWidth="1"/>
    <col min="6405" max="6405" width="12.5703125" style="68" customWidth="1"/>
    <col min="6406" max="6406" width="15.5703125" style="68" customWidth="1"/>
    <col min="6407" max="6407" width="6.28515625" style="68" bestFit="1" customWidth="1"/>
    <col min="6408" max="6408" width="11.28515625" style="68" customWidth="1"/>
    <col min="6409" max="6409" width="14.28515625" style="68" customWidth="1"/>
    <col min="6410" max="6410" width="8.85546875" style="68" customWidth="1"/>
    <col min="6411" max="6411" width="10.140625" style="68" customWidth="1"/>
    <col min="6412" max="6415" width="11.42578125" style="68"/>
    <col min="6416" max="6416" width="25.140625" style="68" customWidth="1"/>
    <col min="6417" max="6653" width="11.42578125" style="68"/>
    <col min="6654" max="6654" width="25" style="68" customWidth="1"/>
    <col min="6655" max="6656" width="11.42578125" style="68"/>
    <col min="6657" max="6657" width="11.28515625" style="68" customWidth="1"/>
    <col min="6658" max="6658" width="47.5703125" style="68" customWidth="1"/>
    <col min="6659" max="6659" width="10.5703125" style="68" customWidth="1"/>
    <col min="6660" max="6660" width="6.85546875" style="68" customWidth="1"/>
    <col min="6661" max="6661" width="12.5703125" style="68" customWidth="1"/>
    <col min="6662" max="6662" width="15.5703125" style="68" customWidth="1"/>
    <col min="6663" max="6663" width="6.28515625" style="68" bestFit="1" customWidth="1"/>
    <col min="6664" max="6664" width="11.28515625" style="68" customWidth="1"/>
    <col min="6665" max="6665" width="14.28515625" style="68" customWidth="1"/>
    <col min="6666" max="6666" width="8.85546875" style="68" customWidth="1"/>
    <col min="6667" max="6667" width="10.140625" style="68" customWidth="1"/>
    <col min="6668" max="6671" width="11.42578125" style="68"/>
    <col min="6672" max="6672" width="25.140625" style="68" customWidth="1"/>
    <col min="6673" max="6909" width="11.42578125" style="68"/>
    <col min="6910" max="6910" width="25" style="68" customWidth="1"/>
    <col min="6911" max="6912" width="11.42578125" style="68"/>
    <col min="6913" max="6913" width="11.28515625" style="68" customWidth="1"/>
    <col min="6914" max="6914" width="47.5703125" style="68" customWidth="1"/>
    <col min="6915" max="6915" width="10.5703125" style="68" customWidth="1"/>
    <col min="6916" max="6916" width="6.85546875" style="68" customWidth="1"/>
    <col min="6917" max="6917" width="12.5703125" style="68" customWidth="1"/>
    <col min="6918" max="6918" width="15.5703125" style="68" customWidth="1"/>
    <col min="6919" max="6919" width="6.28515625" style="68" bestFit="1" customWidth="1"/>
    <col min="6920" max="6920" width="11.28515625" style="68" customWidth="1"/>
    <col min="6921" max="6921" width="14.28515625" style="68" customWidth="1"/>
    <col min="6922" max="6922" width="8.85546875" style="68" customWidth="1"/>
    <col min="6923" max="6923" width="10.140625" style="68" customWidth="1"/>
    <col min="6924" max="6927" width="11.42578125" style="68"/>
    <col min="6928" max="6928" width="25.140625" style="68" customWidth="1"/>
    <col min="6929" max="7165" width="11.42578125" style="68"/>
    <col min="7166" max="7166" width="25" style="68" customWidth="1"/>
    <col min="7167" max="7168" width="11.42578125" style="68"/>
    <col min="7169" max="7169" width="11.28515625" style="68" customWidth="1"/>
    <col min="7170" max="7170" width="47.5703125" style="68" customWidth="1"/>
    <col min="7171" max="7171" width="10.5703125" style="68" customWidth="1"/>
    <col min="7172" max="7172" width="6.85546875" style="68" customWidth="1"/>
    <col min="7173" max="7173" width="12.5703125" style="68" customWidth="1"/>
    <col min="7174" max="7174" width="15.5703125" style="68" customWidth="1"/>
    <col min="7175" max="7175" width="6.28515625" style="68" bestFit="1" customWidth="1"/>
    <col min="7176" max="7176" width="11.28515625" style="68" customWidth="1"/>
    <col min="7177" max="7177" width="14.28515625" style="68" customWidth="1"/>
    <col min="7178" max="7178" width="8.85546875" style="68" customWidth="1"/>
    <col min="7179" max="7179" width="10.140625" style="68" customWidth="1"/>
    <col min="7180" max="7183" width="11.42578125" style="68"/>
    <col min="7184" max="7184" width="25.140625" style="68" customWidth="1"/>
    <col min="7185" max="7421" width="11.42578125" style="68"/>
    <col min="7422" max="7422" width="25" style="68" customWidth="1"/>
    <col min="7423" max="7424" width="11.42578125" style="68"/>
    <col min="7425" max="7425" width="11.28515625" style="68" customWidth="1"/>
    <col min="7426" max="7426" width="47.5703125" style="68" customWidth="1"/>
    <col min="7427" max="7427" width="10.5703125" style="68" customWidth="1"/>
    <col min="7428" max="7428" width="6.85546875" style="68" customWidth="1"/>
    <col min="7429" max="7429" width="12.5703125" style="68" customWidth="1"/>
    <col min="7430" max="7430" width="15.5703125" style="68" customWidth="1"/>
    <col min="7431" max="7431" width="6.28515625" style="68" bestFit="1" customWidth="1"/>
    <col min="7432" max="7432" width="11.28515625" style="68" customWidth="1"/>
    <col min="7433" max="7433" width="14.28515625" style="68" customWidth="1"/>
    <col min="7434" max="7434" width="8.85546875" style="68" customWidth="1"/>
    <col min="7435" max="7435" width="10.140625" style="68" customWidth="1"/>
    <col min="7436" max="7439" width="11.42578125" style="68"/>
    <col min="7440" max="7440" width="25.140625" style="68" customWidth="1"/>
    <col min="7441" max="7677" width="11.42578125" style="68"/>
    <col min="7678" max="7678" width="25" style="68" customWidth="1"/>
    <col min="7679" max="7680" width="11.42578125" style="68"/>
    <col min="7681" max="7681" width="11.28515625" style="68" customWidth="1"/>
    <col min="7682" max="7682" width="47.5703125" style="68" customWidth="1"/>
    <col min="7683" max="7683" width="10.5703125" style="68" customWidth="1"/>
    <col min="7684" max="7684" width="6.85546875" style="68" customWidth="1"/>
    <col min="7685" max="7685" width="12.5703125" style="68" customWidth="1"/>
    <col min="7686" max="7686" width="15.5703125" style="68" customWidth="1"/>
    <col min="7687" max="7687" width="6.28515625" style="68" bestFit="1" customWidth="1"/>
    <col min="7688" max="7688" width="11.28515625" style="68" customWidth="1"/>
    <col min="7689" max="7689" width="14.28515625" style="68" customWidth="1"/>
    <col min="7690" max="7690" width="8.85546875" style="68" customWidth="1"/>
    <col min="7691" max="7691" width="10.140625" style="68" customWidth="1"/>
    <col min="7692" max="7695" width="11.42578125" style="68"/>
    <col min="7696" max="7696" width="25.140625" style="68" customWidth="1"/>
    <col min="7697" max="7933" width="11.42578125" style="68"/>
    <col min="7934" max="7934" width="25" style="68" customWidth="1"/>
    <col min="7935" max="7936" width="11.42578125" style="68"/>
    <col min="7937" max="7937" width="11.28515625" style="68" customWidth="1"/>
    <col min="7938" max="7938" width="47.5703125" style="68" customWidth="1"/>
    <col min="7939" max="7939" width="10.5703125" style="68" customWidth="1"/>
    <col min="7940" max="7940" width="6.85546875" style="68" customWidth="1"/>
    <col min="7941" max="7941" width="12.5703125" style="68" customWidth="1"/>
    <col min="7942" max="7942" width="15.5703125" style="68" customWidth="1"/>
    <col min="7943" max="7943" width="6.28515625" style="68" bestFit="1" customWidth="1"/>
    <col min="7944" max="7944" width="11.28515625" style="68" customWidth="1"/>
    <col min="7945" max="7945" width="14.28515625" style="68" customWidth="1"/>
    <col min="7946" max="7946" width="8.85546875" style="68" customWidth="1"/>
    <col min="7947" max="7947" width="10.140625" style="68" customWidth="1"/>
    <col min="7948" max="7951" width="11.42578125" style="68"/>
    <col min="7952" max="7952" width="25.140625" style="68" customWidth="1"/>
    <col min="7953" max="8189" width="11.42578125" style="68"/>
    <col min="8190" max="8190" width="25" style="68" customWidth="1"/>
    <col min="8191" max="8192" width="11.42578125" style="68"/>
    <col min="8193" max="8193" width="11.28515625" style="68" customWidth="1"/>
    <col min="8194" max="8194" width="47.5703125" style="68" customWidth="1"/>
    <col min="8195" max="8195" width="10.5703125" style="68" customWidth="1"/>
    <col min="8196" max="8196" width="6.85546875" style="68" customWidth="1"/>
    <col min="8197" max="8197" width="12.5703125" style="68" customWidth="1"/>
    <col min="8198" max="8198" width="15.5703125" style="68" customWidth="1"/>
    <col min="8199" max="8199" width="6.28515625" style="68" bestFit="1" customWidth="1"/>
    <col min="8200" max="8200" width="11.28515625" style="68" customWidth="1"/>
    <col min="8201" max="8201" width="14.28515625" style="68" customWidth="1"/>
    <col min="8202" max="8202" width="8.85546875" style="68" customWidth="1"/>
    <col min="8203" max="8203" width="10.140625" style="68" customWidth="1"/>
    <col min="8204" max="8207" width="11.42578125" style="68"/>
    <col min="8208" max="8208" width="25.140625" style="68" customWidth="1"/>
    <col min="8209" max="8445" width="11.42578125" style="68"/>
    <col min="8446" max="8446" width="25" style="68" customWidth="1"/>
    <col min="8447" max="8448" width="11.42578125" style="68"/>
    <col min="8449" max="8449" width="11.28515625" style="68" customWidth="1"/>
    <col min="8450" max="8450" width="47.5703125" style="68" customWidth="1"/>
    <col min="8451" max="8451" width="10.5703125" style="68" customWidth="1"/>
    <col min="8452" max="8452" width="6.85546875" style="68" customWidth="1"/>
    <col min="8453" max="8453" width="12.5703125" style="68" customWidth="1"/>
    <col min="8454" max="8454" width="15.5703125" style="68" customWidth="1"/>
    <col min="8455" max="8455" width="6.28515625" style="68" bestFit="1" customWidth="1"/>
    <col min="8456" max="8456" width="11.28515625" style="68" customWidth="1"/>
    <col min="8457" max="8457" width="14.28515625" style="68" customWidth="1"/>
    <col min="8458" max="8458" width="8.85546875" style="68" customWidth="1"/>
    <col min="8459" max="8459" width="10.140625" style="68" customWidth="1"/>
    <col min="8460" max="8463" width="11.42578125" style="68"/>
    <col min="8464" max="8464" width="25.140625" style="68" customWidth="1"/>
    <col min="8465" max="8701" width="11.42578125" style="68"/>
    <col min="8702" max="8702" width="25" style="68" customWidth="1"/>
    <col min="8703" max="8704" width="11.42578125" style="68"/>
    <col min="8705" max="8705" width="11.28515625" style="68" customWidth="1"/>
    <col min="8706" max="8706" width="47.5703125" style="68" customWidth="1"/>
    <col min="8707" max="8707" width="10.5703125" style="68" customWidth="1"/>
    <col min="8708" max="8708" width="6.85546875" style="68" customWidth="1"/>
    <col min="8709" max="8709" width="12.5703125" style="68" customWidth="1"/>
    <col min="8710" max="8710" width="15.5703125" style="68" customWidth="1"/>
    <col min="8711" max="8711" width="6.28515625" style="68" bestFit="1" customWidth="1"/>
    <col min="8712" max="8712" width="11.28515625" style="68" customWidth="1"/>
    <col min="8713" max="8713" width="14.28515625" style="68" customWidth="1"/>
    <col min="8714" max="8714" width="8.85546875" style="68" customWidth="1"/>
    <col min="8715" max="8715" width="10.140625" style="68" customWidth="1"/>
    <col min="8716" max="8719" width="11.42578125" style="68"/>
    <col min="8720" max="8720" width="25.140625" style="68" customWidth="1"/>
    <col min="8721" max="8957" width="11.42578125" style="68"/>
    <col min="8958" max="8958" width="25" style="68" customWidth="1"/>
    <col min="8959" max="8960" width="11.42578125" style="68"/>
    <col min="8961" max="8961" width="11.28515625" style="68" customWidth="1"/>
    <col min="8962" max="8962" width="47.5703125" style="68" customWidth="1"/>
    <col min="8963" max="8963" width="10.5703125" style="68" customWidth="1"/>
    <col min="8964" max="8964" width="6.85546875" style="68" customWidth="1"/>
    <col min="8965" max="8965" width="12.5703125" style="68" customWidth="1"/>
    <col min="8966" max="8966" width="15.5703125" style="68" customWidth="1"/>
    <col min="8967" max="8967" width="6.28515625" style="68" bestFit="1" customWidth="1"/>
    <col min="8968" max="8968" width="11.28515625" style="68" customWidth="1"/>
    <col min="8969" max="8969" width="14.28515625" style="68" customWidth="1"/>
    <col min="8970" max="8970" width="8.85546875" style="68" customWidth="1"/>
    <col min="8971" max="8971" width="10.140625" style="68" customWidth="1"/>
    <col min="8972" max="8975" width="11.42578125" style="68"/>
    <col min="8976" max="8976" width="25.140625" style="68" customWidth="1"/>
    <col min="8977" max="9213" width="11.42578125" style="68"/>
    <col min="9214" max="9214" width="25" style="68" customWidth="1"/>
    <col min="9215" max="9216" width="11.42578125" style="68"/>
    <col min="9217" max="9217" width="11.28515625" style="68" customWidth="1"/>
    <col min="9218" max="9218" width="47.5703125" style="68" customWidth="1"/>
    <col min="9219" max="9219" width="10.5703125" style="68" customWidth="1"/>
    <col min="9220" max="9220" width="6.85546875" style="68" customWidth="1"/>
    <col min="9221" max="9221" width="12.5703125" style="68" customWidth="1"/>
    <col min="9222" max="9222" width="15.5703125" style="68" customWidth="1"/>
    <col min="9223" max="9223" width="6.28515625" style="68" bestFit="1" customWidth="1"/>
    <col min="9224" max="9224" width="11.28515625" style="68" customWidth="1"/>
    <col min="9225" max="9225" width="14.28515625" style="68" customWidth="1"/>
    <col min="9226" max="9226" width="8.85546875" style="68" customWidth="1"/>
    <col min="9227" max="9227" width="10.140625" style="68" customWidth="1"/>
    <col min="9228" max="9231" width="11.42578125" style="68"/>
    <col min="9232" max="9232" width="25.140625" style="68" customWidth="1"/>
    <col min="9233" max="9469" width="11.42578125" style="68"/>
    <col min="9470" max="9470" width="25" style="68" customWidth="1"/>
    <col min="9471" max="9472" width="11.42578125" style="68"/>
    <col min="9473" max="9473" width="11.28515625" style="68" customWidth="1"/>
    <col min="9474" max="9474" width="47.5703125" style="68" customWidth="1"/>
    <col min="9475" max="9475" width="10.5703125" style="68" customWidth="1"/>
    <col min="9476" max="9476" width="6.85546875" style="68" customWidth="1"/>
    <col min="9477" max="9477" width="12.5703125" style="68" customWidth="1"/>
    <col min="9478" max="9478" width="15.5703125" style="68" customWidth="1"/>
    <col min="9479" max="9479" width="6.28515625" style="68" bestFit="1" customWidth="1"/>
    <col min="9480" max="9480" width="11.28515625" style="68" customWidth="1"/>
    <col min="9481" max="9481" width="14.28515625" style="68" customWidth="1"/>
    <col min="9482" max="9482" width="8.85546875" style="68" customWidth="1"/>
    <col min="9483" max="9483" width="10.140625" style="68" customWidth="1"/>
    <col min="9484" max="9487" width="11.42578125" style="68"/>
    <col min="9488" max="9488" width="25.140625" style="68" customWidth="1"/>
    <col min="9489" max="9725" width="11.42578125" style="68"/>
    <col min="9726" max="9726" width="25" style="68" customWidth="1"/>
    <col min="9727" max="9728" width="11.42578125" style="68"/>
    <col min="9729" max="9729" width="11.28515625" style="68" customWidth="1"/>
    <col min="9730" max="9730" width="47.5703125" style="68" customWidth="1"/>
    <col min="9731" max="9731" width="10.5703125" style="68" customWidth="1"/>
    <col min="9732" max="9732" width="6.85546875" style="68" customWidth="1"/>
    <col min="9733" max="9733" width="12.5703125" style="68" customWidth="1"/>
    <col min="9734" max="9734" width="15.5703125" style="68" customWidth="1"/>
    <col min="9735" max="9735" width="6.28515625" style="68" bestFit="1" customWidth="1"/>
    <col min="9736" max="9736" width="11.28515625" style="68" customWidth="1"/>
    <col min="9737" max="9737" width="14.28515625" style="68" customWidth="1"/>
    <col min="9738" max="9738" width="8.85546875" style="68" customWidth="1"/>
    <col min="9739" max="9739" width="10.140625" style="68" customWidth="1"/>
    <col min="9740" max="9743" width="11.42578125" style="68"/>
    <col min="9744" max="9744" width="25.140625" style="68" customWidth="1"/>
    <col min="9745" max="9981" width="11.42578125" style="68"/>
    <col min="9982" max="9982" width="25" style="68" customWidth="1"/>
    <col min="9983" max="9984" width="11.42578125" style="68"/>
    <col min="9985" max="9985" width="11.28515625" style="68" customWidth="1"/>
    <col min="9986" max="9986" width="47.5703125" style="68" customWidth="1"/>
    <col min="9987" max="9987" width="10.5703125" style="68" customWidth="1"/>
    <col min="9988" max="9988" width="6.85546875" style="68" customWidth="1"/>
    <col min="9989" max="9989" width="12.5703125" style="68" customWidth="1"/>
    <col min="9990" max="9990" width="15.5703125" style="68" customWidth="1"/>
    <col min="9991" max="9991" width="6.28515625" style="68" bestFit="1" customWidth="1"/>
    <col min="9992" max="9992" width="11.28515625" style="68" customWidth="1"/>
    <col min="9993" max="9993" width="14.28515625" style="68" customWidth="1"/>
    <col min="9994" max="9994" width="8.85546875" style="68" customWidth="1"/>
    <col min="9995" max="9995" width="10.140625" style="68" customWidth="1"/>
    <col min="9996" max="9999" width="11.42578125" style="68"/>
    <col min="10000" max="10000" width="25.140625" style="68" customWidth="1"/>
    <col min="10001" max="10237" width="11.42578125" style="68"/>
    <col min="10238" max="10238" width="25" style="68" customWidth="1"/>
    <col min="10239" max="10240" width="11.42578125" style="68"/>
    <col min="10241" max="10241" width="11.28515625" style="68" customWidth="1"/>
    <col min="10242" max="10242" width="47.5703125" style="68" customWidth="1"/>
    <col min="10243" max="10243" width="10.5703125" style="68" customWidth="1"/>
    <col min="10244" max="10244" width="6.85546875" style="68" customWidth="1"/>
    <col min="10245" max="10245" width="12.5703125" style="68" customWidth="1"/>
    <col min="10246" max="10246" width="15.5703125" style="68" customWidth="1"/>
    <col min="10247" max="10247" width="6.28515625" style="68" bestFit="1" customWidth="1"/>
    <col min="10248" max="10248" width="11.28515625" style="68" customWidth="1"/>
    <col min="10249" max="10249" width="14.28515625" style="68" customWidth="1"/>
    <col min="10250" max="10250" width="8.85546875" style="68" customWidth="1"/>
    <col min="10251" max="10251" width="10.140625" style="68" customWidth="1"/>
    <col min="10252" max="10255" width="11.42578125" style="68"/>
    <col min="10256" max="10256" width="25.140625" style="68" customWidth="1"/>
    <col min="10257" max="10493" width="11.42578125" style="68"/>
    <col min="10494" max="10494" width="25" style="68" customWidth="1"/>
    <col min="10495" max="10496" width="11.42578125" style="68"/>
    <col min="10497" max="10497" width="11.28515625" style="68" customWidth="1"/>
    <col min="10498" max="10498" width="47.5703125" style="68" customWidth="1"/>
    <col min="10499" max="10499" width="10.5703125" style="68" customWidth="1"/>
    <col min="10500" max="10500" width="6.85546875" style="68" customWidth="1"/>
    <col min="10501" max="10501" width="12.5703125" style="68" customWidth="1"/>
    <col min="10502" max="10502" width="15.5703125" style="68" customWidth="1"/>
    <col min="10503" max="10503" width="6.28515625" style="68" bestFit="1" customWidth="1"/>
    <col min="10504" max="10504" width="11.28515625" style="68" customWidth="1"/>
    <col min="10505" max="10505" width="14.28515625" style="68" customWidth="1"/>
    <col min="10506" max="10506" width="8.85546875" style="68" customWidth="1"/>
    <col min="10507" max="10507" width="10.140625" style="68" customWidth="1"/>
    <col min="10508" max="10511" width="11.42578125" style="68"/>
    <col min="10512" max="10512" width="25.140625" style="68" customWidth="1"/>
    <col min="10513" max="10749" width="11.42578125" style="68"/>
    <col min="10750" max="10750" width="25" style="68" customWidth="1"/>
    <col min="10751" max="10752" width="11.42578125" style="68"/>
    <col min="10753" max="10753" width="11.28515625" style="68" customWidth="1"/>
    <col min="10754" max="10754" width="47.5703125" style="68" customWidth="1"/>
    <col min="10755" max="10755" width="10.5703125" style="68" customWidth="1"/>
    <col min="10756" max="10756" width="6.85546875" style="68" customWidth="1"/>
    <col min="10757" max="10757" width="12.5703125" style="68" customWidth="1"/>
    <col min="10758" max="10758" width="15.5703125" style="68" customWidth="1"/>
    <col min="10759" max="10759" width="6.28515625" style="68" bestFit="1" customWidth="1"/>
    <col min="10760" max="10760" width="11.28515625" style="68" customWidth="1"/>
    <col min="10761" max="10761" width="14.28515625" style="68" customWidth="1"/>
    <col min="10762" max="10762" width="8.85546875" style="68" customWidth="1"/>
    <col min="10763" max="10763" width="10.140625" style="68" customWidth="1"/>
    <col min="10764" max="10767" width="11.42578125" style="68"/>
    <col min="10768" max="10768" width="25.140625" style="68" customWidth="1"/>
    <col min="10769" max="11005" width="11.42578125" style="68"/>
    <col min="11006" max="11006" width="25" style="68" customWidth="1"/>
    <col min="11007" max="11008" width="11.42578125" style="68"/>
    <col min="11009" max="11009" width="11.28515625" style="68" customWidth="1"/>
    <col min="11010" max="11010" width="47.5703125" style="68" customWidth="1"/>
    <col min="11011" max="11011" width="10.5703125" style="68" customWidth="1"/>
    <col min="11012" max="11012" width="6.85546875" style="68" customWidth="1"/>
    <col min="11013" max="11013" width="12.5703125" style="68" customWidth="1"/>
    <col min="11014" max="11014" width="15.5703125" style="68" customWidth="1"/>
    <col min="11015" max="11015" width="6.28515625" style="68" bestFit="1" customWidth="1"/>
    <col min="11016" max="11016" width="11.28515625" style="68" customWidth="1"/>
    <col min="11017" max="11017" width="14.28515625" style="68" customWidth="1"/>
    <col min="11018" max="11018" width="8.85546875" style="68" customWidth="1"/>
    <col min="11019" max="11019" width="10.140625" style="68" customWidth="1"/>
    <col min="11020" max="11023" width="11.42578125" style="68"/>
    <col min="11024" max="11024" width="25.140625" style="68" customWidth="1"/>
    <col min="11025" max="11261" width="11.42578125" style="68"/>
    <col min="11262" max="11262" width="25" style="68" customWidth="1"/>
    <col min="11263" max="11264" width="11.42578125" style="68"/>
    <col min="11265" max="11265" width="11.28515625" style="68" customWidth="1"/>
    <col min="11266" max="11266" width="47.5703125" style="68" customWidth="1"/>
    <col min="11267" max="11267" width="10.5703125" style="68" customWidth="1"/>
    <col min="11268" max="11268" width="6.85546875" style="68" customWidth="1"/>
    <col min="11269" max="11269" width="12.5703125" style="68" customWidth="1"/>
    <col min="11270" max="11270" width="15.5703125" style="68" customWidth="1"/>
    <col min="11271" max="11271" width="6.28515625" style="68" bestFit="1" customWidth="1"/>
    <col min="11272" max="11272" width="11.28515625" style="68" customWidth="1"/>
    <col min="11273" max="11273" width="14.28515625" style="68" customWidth="1"/>
    <col min="11274" max="11274" width="8.85546875" style="68" customWidth="1"/>
    <col min="11275" max="11275" width="10.140625" style="68" customWidth="1"/>
    <col min="11276" max="11279" width="11.42578125" style="68"/>
    <col min="11280" max="11280" width="25.140625" style="68" customWidth="1"/>
    <col min="11281" max="11517" width="11.42578125" style="68"/>
    <col min="11518" max="11518" width="25" style="68" customWidth="1"/>
    <col min="11519" max="11520" width="11.42578125" style="68"/>
    <col min="11521" max="11521" width="11.28515625" style="68" customWidth="1"/>
    <col min="11522" max="11522" width="47.5703125" style="68" customWidth="1"/>
    <col min="11523" max="11523" width="10.5703125" style="68" customWidth="1"/>
    <col min="11524" max="11524" width="6.85546875" style="68" customWidth="1"/>
    <col min="11525" max="11525" width="12.5703125" style="68" customWidth="1"/>
    <col min="11526" max="11526" width="15.5703125" style="68" customWidth="1"/>
    <col min="11527" max="11527" width="6.28515625" style="68" bestFit="1" customWidth="1"/>
    <col min="11528" max="11528" width="11.28515625" style="68" customWidth="1"/>
    <col min="11529" max="11529" width="14.28515625" style="68" customWidth="1"/>
    <col min="11530" max="11530" width="8.85546875" style="68" customWidth="1"/>
    <col min="11531" max="11531" width="10.140625" style="68" customWidth="1"/>
    <col min="11532" max="11535" width="11.42578125" style="68"/>
    <col min="11536" max="11536" width="25.140625" style="68" customWidth="1"/>
    <col min="11537" max="11773" width="11.42578125" style="68"/>
    <col min="11774" max="11774" width="25" style="68" customWidth="1"/>
    <col min="11775" max="11776" width="11.42578125" style="68"/>
    <col min="11777" max="11777" width="11.28515625" style="68" customWidth="1"/>
    <col min="11778" max="11778" width="47.5703125" style="68" customWidth="1"/>
    <col min="11779" max="11779" width="10.5703125" style="68" customWidth="1"/>
    <col min="11780" max="11780" width="6.85546875" style="68" customWidth="1"/>
    <col min="11781" max="11781" width="12.5703125" style="68" customWidth="1"/>
    <col min="11782" max="11782" width="15.5703125" style="68" customWidth="1"/>
    <col min="11783" max="11783" width="6.28515625" style="68" bestFit="1" customWidth="1"/>
    <col min="11784" max="11784" width="11.28515625" style="68" customWidth="1"/>
    <col min="11785" max="11785" width="14.28515625" style="68" customWidth="1"/>
    <col min="11786" max="11786" width="8.85546875" style="68" customWidth="1"/>
    <col min="11787" max="11787" width="10.140625" style="68" customWidth="1"/>
    <col min="11788" max="11791" width="11.42578125" style="68"/>
    <col min="11792" max="11792" width="25.140625" style="68" customWidth="1"/>
    <col min="11793" max="12029" width="11.42578125" style="68"/>
    <col min="12030" max="12030" width="25" style="68" customWidth="1"/>
    <col min="12031" max="12032" width="11.42578125" style="68"/>
    <col min="12033" max="12033" width="11.28515625" style="68" customWidth="1"/>
    <col min="12034" max="12034" width="47.5703125" style="68" customWidth="1"/>
    <col min="12035" max="12035" width="10.5703125" style="68" customWidth="1"/>
    <col min="12036" max="12036" width="6.85546875" style="68" customWidth="1"/>
    <col min="12037" max="12037" width="12.5703125" style="68" customWidth="1"/>
    <col min="12038" max="12038" width="15.5703125" style="68" customWidth="1"/>
    <col min="12039" max="12039" width="6.28515625" style="68" bestFit="1" customWidth="1"/>
    <col min="12040" max="12040" width="11.28515625" style="68" customWidth="1"/>
    <col min="12041" max="12041" width="14.28515625" style="68" customWidth="1"/>
    <col min="12042" max="12042" width="8.85546875" style="68" customWidth="1"/>
    <col min="12043" max="12043" width="10.140625" style="68" customWidth="1"/>
    <col min="12044" max="12047" width="11.42578125" style="68"/>
    <col min="12048" max="12048" width="25.140625" style="68" customWidth="1"/>
    <col min="12049" max="12285" width="11.42578125" style="68"/>
    <col min="12286" max="12286" width="25" style="68" customWidth="1"/>
    <col min="12287" max="12288" width="11.42578125" style="68"/>
    <col min="12289" max="12289" width="11.28515625" style="68" customWidth="1"/>
    <col min="12290" max="12290" width="47.5703125" style="68" customWidth="1"/>
    <col min="12291" max="12291" width="10.5703125" style="68" customWidth="1"/>
    <col min="12292" max="12292" width="6.85546875" style="68" customWidth="1"/>
    <col min="12293" max="12293" width="12.5703125" style="68" customWidth="1"/>
    <col min="12294" max="12294" width="15.5703125" style="68" customWidth="1"/>
    <col min="12295" max="12295" width="6.28515625" style="68" bestFit="1" customWidth="1"/>
    <col min="12296" max="12296" width="11.28515625" style="68" customWidth="1"/>
    <col min="12297" max="12297" width="14.28515625" style="68" customWidth="1"/>
    <col min="12298" max="12298" width="8.85546875" style="68" customWidth="1"/>
    <col min="12299" max="12299" width="10.140625" style="68" customWidth="1"/>
    <col min="12300" max="12303" width="11.42578125" style="68"/>
    <col min="12304" max="12304" width="25.140625" style="68" customWidth="1"/>
    <col min="12305" max="12541" width="11.42578125" style="68"/>
    <col min="12542" max="12542" width="25" style="68" customWidth="1"/>
    <col min="12543" max="12544" width="11.42578125" style="68"/>
    <col min="12545" max="12545" width="11.28515625" style="68" customWidth="1"/>
    <col min="12546" max="12546" width="47.5703125" style="68" customWidth="1"/>
    <col min="12547" max="12547" width="10.5703125" style="68" customWidth="1"/>
    <col min="12548" max="12548" width="6.85546875" style="68" customWidth="1"/>
    <col min="12549" max="12549" width="12.5703125" style="68" customWidth="1"/>
    <col min="12550" max="12550" width="15.5703125" style="68" customWidth="1"/>
    <col min="12551" max="12551" width="6.28515625" style="68" bestFit="1" customWidth="1"/>
    <col min="12552" max="12552" width="11.28515625" style="68" customWidth="1"/>
    <col min="12553" max="12553" width="14.28515625" style="68" customWidth="1"/>
    <col min="12554" max="12554" width="8.85546875" style="68" customWidth="1"/>
    <col min="12555" max="12555" width="10.140625" style="68" customWidth="1"/>
    <col min="12556" max="12559" width="11.42578125" style="68"/>
    <col min="12560" max="12560" width="25.140625" style="68" customWidth="1"/>
    <col min="12561" max="12797" width="11.42578125" style="68"/>
    <col min="12798" max="12798" width="25" style="68" customWidth="1"/>
    <col min="12799" max="12800" width="11.42578125" style="68"/>
    <col min="12801" max="12801" width="11.28515625" style="68" customWidth="1"/>
    <col min="12802" max="12802" width="47.5703125" style="68" customWidth="1"/>
    <col min="12803" max="12803" width="10.5703125" style="68" customWidth="1"/>
    <col min="12804" max="12804" width="6.85546875" style="68" customWidth="1"/>
    <col min="12805" max="12805" width="12.5703125" style="68" customWidth="1"/>
    <col min="12806" max="12806" width="15.5703125" style="68" customWidth="1"/>
    <col min="12807" max="12807" width="6.28515625" style="68" bestFit="1" customWidth="1"/>
    <col min="12808" max="12808" width="11.28515625" style="68" customWidth="1"/>
    <col min="12809" max="12809" width="14.28515625" style="68" customWidth="1"/>
    <col min="12810" max="12810" width="8.85546875" style="68" customWidth="1"/>
    <col min="12811" max="12811" width="10.140625" style="68" customWidth="1"/>
    <col min="12812" max="12815" width="11.42578125" style="68"/>
    <col min="12816" max="12816" width="25.140625" style="68" customWidth="1"/>
    <col min="12817" max="13053" width="11.42578125" style="68"/>
    <col min="13054" max="13054" width="25" style="68" customWidth="1"/>
    <col min="13055" max="13056" width="11.42578125" style="68"/>
    <col min="13057" max="13057" width="11.28515625" style="68" customWidth="1"/>
    <col min="13058" max="13058" width="47.5703125" style="68" customWidth="1"/>
    <col min="13059" max="13059" width="10.5703125" style="68" customWidth="1"/>
    <col min="13060" max="13060" width="6.85546875" style="68" customWidth="1"/>
    <col min="13061" max="13061" width="12.5703125" style="68" customWidth="1"/>
    <col min="13062" max="13062" width="15.5703125" style="68" customWidth="1"/>
    <col min="13063" max="13063" width="6.28515625" style="68" bestFit="1" customWidth="1"/>
    <col min="13064" max="13064" width="11.28515625" style="68" customWidth="1"/>
    <col min="13065" max="13065" width="14.28515625" style="68" customWidth="1"/>
    <col min="13066" max="13066" width="8.85546875" style="68" customWidth="1"/>
    <col min="13067" max="13067" width="10.140625" style="68" customWidth="1"/>
    <col min="13068" max="13071" width="11.42578125" style="68"/>
    <col min="13072" max="13072" width="25.140625" style="68" customWidth="1"/>
    <col min="13073" max="13309" width="11.42578125" style="68"/>
    <col min="13310" max="13310" width="25" style="68" customWidth="1"/>
    <col min="13311" max="13312" width="11.42578125" style="68"/>
    <col min="13313" max="13313" width="11.28515625" style="68" customWidth="1"/>
    <col min="13314" max="13314" width="47.5703125" style="68" customWidth="1"/>
    <col min="13315" max="13315" width="10.5703125" style="68" customWidth="1"/>
    <col min="13316" max="13316" width="6.85546875" style="68" customWidth="1"/>
    <col min="13317" max="13317" width="12.5703125" style="68" customWidth="1"/>
    <col min="13318" max="13318" width="15.5703125" style="68" customWidth="1"/>
    <col min="13319" max="13319" width="6.28515625" style="68" bestFit="1" customWidth="1"/>
    <col min="13320" max="13320" width="11.28515625" style="68" customWidth="1"/>
    <col min="13321" max="13321" width="14.28515625" style="68" customWidth="1"/>
    <col min="13322" max="13322" width="8.85546875" style="68" customWidth="1"/>
    <col min="13323" max="13323" width="10.140625" style="68" customWidth="1"/>
    <col min="13324" max="13327" width="11.42578125" style="68"/>
    <col min="13328" max="13328" width="25.140625" style="68" customWidth="1"/>
    <col min="13329" max="13565" width="11.42578125" style="68"/>
    <col min="13566" max="13566" width="25" style="68" customWidth="1"/>
    <col min="13567" max="13568" width="11.42578125" style="68"/>
    <col min="13569" max="13569" width="11.28515625" style="68" customWidth="1"/>
    <col min="13570" max="13570" width="47.5703125" style="68" customWidth="1"/>
    <col min="13571" max="13571" width="10.5703125" style="68" customWidth="1"/>
    <col min="13572" max="13572" width="6.85546875" style="68" customWidth="1"/>
    <col min="13573" max="13573" width="12.5703125" style="68" customWidth="1"/>
    <col min="13574" max="13574" width="15.5703125" style="68" customWidth="1"/>
    <col min="13575" max="13575" width="6.28515625" style="68" bestFit="1" customWidth="1"/>
    <col min="13576" max="13576" width="11.28515625" style="68" customWidth="1"/>
    <col min="13577" max="13577" width="14.28515625" style="68" customWidth="1"/>
    <col min="13578" max="13578" width="8.85546875" style="68" customWidth="1"/>
    <col min="13579" max="13579" width="10.140625" style="68" customWidth="1"/>
    <col min="13580" max="13583" width="11.42578125" style="68"/>
    <col min="13584" max="13584" width="25.140625" style="68" customWidth="1"/>
    <col min="13585" max="13821" width="11.42578125" style="68"/>
    <col min="13822" max="13822" width="25" style="68" customWidth="1"/>
    <col min="13823" max="13824" width="11.42578125" style="68"/>
    <col min="13825" max="13825" width="11.28515625" style="68" customWidth="1"/>
    <col min="13826" max="13826" width="47.5703125" style="68" customWidth="1"/>
    <col min="13827" max="13827" width="10.5703125" style="68" customWidth="1"/>
    <col min="13828" max="13828" width="6.85546875" style="68" customWidth="1"/>
    <col min="13829" max="13829" width="12.5703125" style="68" customWidth="1"/>
    <col min="13830" max="13830" width="15.5703125" style="68" customWidth="1"/>
    <col min="13831" max="13831" width="6.28515625" style="68" bestFit="1" customWidth="1"/>
    <col min="13832" max="13832" width="11.28515625" style="68" customWidth="1"/>
    <col min="13833" max="13833" width="14.28515625" style="68" customWidth="1"/>
    <col min="13834" max="13834" width="8.85546875" style="68" customWidth="1"/>
    <col min="13835" max="13835" width="10.140625" style="68" customWidth="1"/>
    <col min="13836" max="13839" width="11.42578125" style="68"/>
    <col min="13840" max="13840" width="25.140625" style="68" customWidth="1"/>
    <col min="13841" max="14077" width="11.42578125" style="68"/>
    <col min="14078" max="14078" width="25" style="68" customWidth="1"/>
    <col min="14079" max="14080" width="11.42578125" style="68"/>
    <col min="14081" max="14081" width="11.28515625" style="68" customWidth="1"/>
    <col min="14082" max="14082" width="47.5703125" style="68" customWidth="1"/>
    <col min="14083" max="14083" width="10.5703125" style="68" customWidth="1"/>
    <col min="14084" max="14084" width="6.85546875" style="68" customWidth="1"/>
    <col min="14085" max="14085" width="12.5703125" style="68" customWidth="1"/>
    <col min="14086" max="14086" width="15.5703125" style="68" customWidth="1"/>
    <col min="14087" max="14087" width="6.28515625" style="68" bestFit="1" customWidth="1"/>
    <col min="14088" max="14088" width="11.28515625" style="68" customWidth="1"/>
    <col min="14089" max="14089" width="14.28515625" style="68" customWidth="1"/>
    <col min="14090" max="14090" width="8.85546875" style="68" customWidth="1"/>
    <col min="14091" max="14091" width="10.140625" style="68" customWidth="1"/>
    <col min="14092" max="14095" width="11.42578125" style="68"/>
    <col min="14096" max="14096" width="25.140625" style="68" customWidth="1"/>
    <col min="14097" max="14333" width="11.42578125" style="68"/>
    <col min="14334" max="14334" width="25" style="68" customWidth="1"/>
    <col min="14335" max="14336" width="11.42578125" style="68"/>
    <col min="14337" max="14337" width="11.28515625" style="68" customWidth="1"/>
    <col min="14338" max="14338" width="47.5703125" style="68" customWidth="1"/>
    <col min="14339" max="14339" width="10.5703125" style="68" customWidth="1"/>
    <col min="14340" max="14340" width="6.85546875" style="68" customWidth="1"/>
    <col min="14341" max="14341" width="12.5703125" style="68" customWidth="1"/>
    <col min="14342" max="14342" width="15.5703125" style="68" customWidth="1"/>
    <col min="14343" max="14343" width="6.28515625" style="68" bestFit="1" customWidth="1"/>
    <col min="14344" max="14344" width="11.28515625" style="68" customWidth="1"/>
    <col min="14345" max="14345" width="14.28515625" style="68" customWidth="1"/>
    <col min="14346" max="14346" width="8.85546875" style="68" customWidth="1"/>
    <col min="14347" max="14347" width="10.140625" style="68" customWidth="1"/>
    <col min="14348" max="14351" width="11.42578125" style="68"/>
    <col min="14352" max="14352" width="25.140625" style="68" customWidth="1"/>
    <col min="14353" max="14589" width="11.42578125" style="68"/>
    <col min="14590" max="14590" width="25" style="68" customWidth="1"/>
    <col min="14591" max="14592" width="11.42578125" style="68"/>
    <col min="14593" max="14593" width="11.28515625" style="68" customWidth="1"/>
    <col min="14594" max="14594" width="47.5703125" style="68" customWidth="1"/>
    <col min="14595" max="14595" width="10.5703125" style="68" customWidth="1"/>
    <col min="14596" max="14596" width="6.85546875" style="68" customWidth="1"/>
    <col min="14597" max="14597" width="12.5703125" style="68" customWidth="1"/>
    <col min="14598" max="14598" width="15.5703125" style="68" customWidth="1"/>
    <col min="14599" max="14599" width="6.28515625" style="68" bestFit="1" customWidth="1"/>
    <col min="14600" max="14600" width="11.28515625" style="68" customWidth="1"/>
    <col min="14601" max="14601" width="14.28515625" style="68" customWidth="1"/>
    <col min="14602" max="14602" width="8.85546875" style="68" customWidth="1"/>
    <col min="14603" max="14603" width="10.140625" style="68" customWidth="1"/>
    <col min="14604" max="14607" width="11.42578125" style="68"/>
    <col min="14608" max="14608" width="25.140625" style="68" customWidth="1"/>
    <col min="14609" max="14845" width="11.42578125" style="68"/>
    <col min="14846" max="14846" width="25" style="68" customWidth="1"/>
    <col min="14847" max="14848" width="11.42578125" style="68"/>
    <col min="14849" max="14849" width="11.28515625" style="68" customWidth="1"/>
    <col min="14850" max="14850" width="47.5703125" style="68" customWidth="1"/>
    <col min="14851" max="14851" width="10.5703125" style="68" customWidth="1"/>
    <col min="14852" max="14852" width="6.85546875" style="68" customWidth="1"/>
    <col min="14853" max="14853" width="12.5703125" style="68" customWidth="1"/>
    <col min="14854" max="14854" width="15.5703125" style="68" customWidth="1"/>
    <col min="14855" max="14855" width="6.28515625" style="68" bestFit="1" customWidth="1"/>
    <col min="14856" max="14856" width="11.28515625" style="68" customWidth="1"/>
    <col min="14857" max="14857" width="14.28515625" style="68" customWidth="1"/>
    <col min="14858" max="14858" width="8.85546875" style="68" customWidth="1"/>
    <col min="14859" max="14859" width="10.140625" style="68" customWidth="1"/>
    <col min="14860" max="14863" width="11.42578125" style="68"/>
    <col min="14864" max="14864" width="25.140625" style="68" customWidth="1"/>
    <col min="14865" max="15101" width="11.42578125" style="68"/>
    <col min="15102" max="15102" width="25" style="68" customWidth="1"/>
    <col min="15103" max="15104" width="11.42578125" style="68"/>
    <col min="15105" max="15105" width="11.28515625" style="68" customWidth="1"/>
    <col min="15106" max="15106" width="47.5703125" style="68" customWidth="1"/>
    <col min="15107" max="15107" width="10.5703125" style="68" customWidth="1"/>
    <col min="15108" max="15108" width="6.85546875" style="68" customWidth="1"/>
    <col min="15109" max="15109" width="12.5703125" style="68" customWidth="1"/>
    <col min="15110" max="15110" width="15.5703125" style="68" customWidth="1"/>
    <col min="15111" max="15111" width="6.28515625" style="68" bestFit="1" customWidth="1"/>
    <col min="15112" max="15112" width="11.28515625" style="68" customWidth="1"/>
    <col min="15113" max="15113" width="14.28515625" style="68" customWidth="1"/>
    <col min="15114" max="15114" width="8.85546875" style="68" customWidth="1"/>
    <col min="15115" max="15115" width="10.140625" style="68" customWidth="1"/>
    <col min="15116" max="15119" width="11.42578125" style="68"/>
    <col min="15120" max="15120" width="25.140625" style="68" customWidth="1"/>
    <col min="15121" max="15357" width="11.42578125" style="68"/>
    <col min="15358" max="15358" width="25" style="68" customWidth="1"/>
    <col min="15359" max="15360" width="11.42578125" style="68"/>
    <col min="15361" max="15361" width="11.28515625" style="68" customWidth="1"/>
    <col min="15362" max="15362" width="47.5703125" style="68" customWidth="1"/>
    <col min="15363" max="15363" width="10.5703125" style="68" customWidth="1"/>
    <col min="15364" max="15364" width="6.85546875" style="68" customWidth="1"/>
    <col min="15365" max="15365" width="12.5703125" style="68" customWidth="1"/>
    <col min="15366" max="15366" width="15.5703125" style="68" customWidth="1"/>
    <col min="15367" max="15367" width="6.28515625" style="68" bestFit="1" customWidth="1"/>
    <col min="15368" max="15368" width="11.28515625" style="68" customWidth="1"/>
    <col min="15369" max="15369" width="14.28515625" style="68" customWidth="1"/>
    <col min="15370" max="15370" width="8.85546875" style="68" customWidth="1"/>
    <col min="15371" max="15371" width="10.140625" style="68" customWidth="1"/>
    <col min="15372" max="15375" width="11.42578125" style="68"/>
    <col min="15376" max="15376" width="25.140625" style="68" customWidth="1"/>
    <col min="15377" max="15613" width="11.42578125" style="68"/>
    <col min="15614" max="15614" width="25" style="68" customWidth="1"/>
    <col min="15615" max="15616" width="11.42578125" style="68"/>
    <col min="15617" max="15617" width="11.28515625" style="68" customWidth="1"/>
    <col min="15618" max="15618" width="47.5703125" style="68" customWidth="1"/>
    <col min="15619" max="15619" width="10.5703125" style="68" customWidth="1"/>
    <col min="15620" max="15620" width="6.85546875" style="68" customWidth="1"/>
    <col min="15621" max="15621" width="12.5703125" style="68" customWidth="1"/>
    <col min="15622" max="15622" width="15.5703125" style="68" customWidth="1"/>
    <col min="15623" max="15623" width="6.28515625" style="68" bestFit="1" customWidth="1"/>
    <col min="15624" max="15624" width="11.28515625" style="68" customWidth="1"/>
    <col min="15625" max="15625" width="14.28515625" style="68" customWidth="1"/>
    <col min="15626" max="15626" width="8.85546875" style="68" customWidth="1"/>
    <col min="15627" max="15627" width="10.140625" style="68" customWidth="1"/>
    <col min="15628" max="15631" width="11.42578125" style="68"/>
    <col min="15632" max="15632" width="25.140625" style="68" customWidth="1"/>
    <col min="15633" max="15869" width="11.42578125" style="68"/>
    <col min="15870" max="15870" width="25" style="68" customWidth="1"/>
    <col min="15871" max="15872" width="11.42578125" style="68"/>
    <col min="15873" max="15873" width="11.28515625" style="68" customWidth="1"/>
    <col min="15874" max="15874" width="47.5703125" style="68" customWidth="1"/>
    <col min="15875" max="15875" width="10.5703125" style="68" customWidth="1"/>
    <col min="15876" max="15876" width="6.85546875" style="68" customWidth="1"/>
    <col min="15877" max="15877" width="12.5703125" style="68" customWidth="1"/>
    <col min="15878" max="15878" width="15.5703125" style="68" customWidth="1"/>
    <col min="15879" max="15879" width="6.28515625" style="68" bestFit="1" customWidth="1"/>
    <col min="15880" max="15880" width="11.28515625" style="68" customWidth="1"/>
    <col min="15881" max="15881" width="14.28515625" style="68" customWidth="1"/>
    <col min="15882" max="15882" width="8.85546875" style="68" customWidth="1"/>
    <col min="15883" max="15883" width="10.140625" style="68" customWidth="1"/>
    <col min="15884" max="15887" width="11.42578125" style="68"/>
    <col min="15888" max="15888" width="25.140625" style="68" customWidth="1"/>
    <col min="15889" max="16125" width="11.42578125" style="68"/>
    <col min="16126" max="16126" width="25" style="68" customWidth="1"/>
    <col min="16127" max="16128" width="11.42578125" style="68"/>
    <col min="16129" max="16129" width="11.28515625" style="68" customWidth="1"/>
    <col min="16130" max="16130" width="47.5703125" style="68" customWidth="1"/>
    <col min="16131" max="16131" width="10.5703125" style="68" customWidth="1"/>
    <col min="16132" max="16132" width="6.85546875" style="68" customWidth="1"/>
    <col min="16133" max="16133" width="12.5703125" style="68" customWidth="1"/>
    <col min="16134" max="16134" width="15.5703125" style="68" customWidth="1"/>
    <col min="16135" max="16135" width="6.28515625" style="68" bestFit="1" customWidth="1"/>
    <col min="16136" max="16136" width="11.28515625" style="68" customWidth="1"/>
    <col min="16137" max="16137" width="14.28515625" style="68" customWidth="1"/>
    <col min="16138" max="16138" width="8.85546875" style="68" customWidth="1"/>
    <col min="16139" max="16139" width="10.140625" style="68" customWidth="1"/>
    <col min="16140" max="16143" width="11.42578125" style="68"/>
    <col min="16144" max="16144" width="25.140625" style="68" customWidth="1"/>
    <col min="16145" max="16381" width="11.42578125" style="68"/>
    <col min="16382" max="16382" width="25" style="68" customWidth="1"/>
    <col min="16383" max="16384" width="11.42578125" style="68"/>
  </cols>
  <sheetData>
    <row r="1" spans="1:256" ht="15.75" customHeight="1" x14ac:dyDescent="0.25">
      <c r="A1" s="1723" t="s">
        <v>0</v>
      </c>
      <c r="B1" s="1723"/>
      <c r="C1" s="1723"/>
      <c r="D1" s="1723"/>
      <c r="E1" s="1723"/>
      <c r="F1" s="1723"/>
      <c r="IT1" s="69" t="s">
        <v>232</v>
      </c>
      <c r="IU1" s="69" t="s">
        <v>233</v>
      </c>
      <c r="IV1" s="69" t="s">
        <v>234</v>
      </c>
    </row>
    <row r="2" spans="1:256" ht="15.75" customHeight="1" x14ac:dyDescent="0.25">
      <c r="A2" s="1724" t="s">
        <v>235</v>
      </c>
      <c r="B2" s="1724"/>
      <c r="C2" s="1724"/>
      <c r="D2" s="1724"/>
      <c r="E2" s="1724"/>
      <c r="F2" s="1724"/>
      <c r="I2" s="70"/>
      <c r="T2" s="71">
        <v>0.08</v>
      </c>
      <c r="U2" s="71">
        <v>0.12</v>
      </c>
      <c r="V2" s="71">
        <v>0.15</v>
      </c>
      <c r="IT2" s="72" t="s">
        <v>236</v>
      </c>
      <c r="IU2" s="73" t="s">
        <v>68</v>
      </c>
      <c r="IV2" s="73">
        <v>3</v>
      </c>
    </row>
    <row r="3" spans="1:256" ht="12.75" customHeight="1" x14ac:dyDescent="0.2">
      <c r="A3" s="1725" t="s">
        <v>237</v>
      </c>
      <c r="B3" s="1725"/>
      <c r="C3" s="1725"/>
      <c r="D3" s="1725"/>
      <c r="E3" s="1725"/>
      <c r="F3" s="1725"/>
      <c r="IT3" s="72" t="s">
        <v>238</v>
      </c>
      <c r="IU3" s="72" t="s">
        <v>239</v>
      </c>
      <c r="IV3" s="73">
        <v>4</v>
      </c>
    </row>
    <row r="4" spans="1:256" ht="12.75" customHeight="1" x14ac:dyDescent="0.2">
      <c r="A4" s="1725" t="s">
        <v>1</v>
      </c>
      <c r="B4" s="1725"/>
      <c r="C4" s="1725"/>
      <c r="D4" s="1725"/>
      <c r="E4" s="1725"/>
      <c r="F4" s="1725"/>
      <c r="IT4" s="72" t="s">
        <v>240</v>
      </c>
      <c r="IU4" s="72" t="s">
        <v>239</v>
      </c>
      <c r="IV4" s="73">
        <v>3</v>
      </c>
    </row>
    <row r="5" spans="1:256" ht="15.75" customHeight="1" x14ac:dyDescent="0.2">
      <c r="A5" s="74"/>
      <c r="B5" s="74"/>
      <c r="C5" s="74"/>
      <c r="D5" s="74"/>
      <c r="E5" s="74"/>
      <c r="F5" s="74"/>
      <c r="IT5" s="72" t="s">
        <v>241</v>
      </c>
      <c r="IU5" s="72" t="s">
        <v>13</v>
      </c>
      <c r="IV5" s="73">
        <v>4.5</v>
      </c>
    </row>
    <row r="6" spans="1:256" ht="15.75" customHeight="1" x14ac:dyDescent="0.2">
      <c r="A6" s="75" t="s">
        <v>242</v>
      </c>
      <c r="B6" s="76" t="s">
        <v>243</v>
      </c>
      <c r="C6" s="77"/>
      <c r="D6" s="77"/>
      <c r="E6" s="75" t="s">
        <v>244</v>
      </c>
      <c r="F6" s="78" t="s">
        <v>245</v>
      </c>
      <c r="P6" s="69"/>
      <c r="Q6" s="69"/>
      <c r="IT6" s="72" t="s">
        <v>246</v>
      </c>
      <c r="IU6" s="72" t="s">
        <v>247</v>
      </c>
      <c r="IV6" s="73">
        <v>1.5</v>
      </c>
    </row>
    <row r="7" spans="1:256" ht="14.25" customHeight="1" x14ac:dyDescent="0.2">
      <c r="A7" s="75" t="s">
        <v>248</v>
      </c>
      <c r="B7" s="1726" t="s">
        <v>249</v>
      </c>
      <c r="C7" s="1726"/>
      <c r="D7" s="1726"/>
      <c r="E7" s="75" t="s">
        <v>250</v>
      </c>
      <c r="F7" s="78">
        <v>44117</v>
      </c>
      <c r="L7" s="66"/>
      <c r="Q7" s="79"/>
      <c r="IT7" s="72" t="s">
        <v>251</v>
      </c>
      <c r="IU7" s="72" t="s">
        <v>252</v>
      </c>
      <c r="IV7" s="73">
        <v>3</v>
      </c>
    </row>
    <row r="8" spans="1:256" ht="12.75" customHeight="1" x14ac:dyDescent="0.2">
      <c r="A8" s="75" t="s">
        <v>253</v>
      </c>
      <c r="B8" s="76" t="s">
        <v>254</v>
      </c>
      <c r="C8" s="80"/>
      <c r="D8" s="80"/>
      <c r="E8" s="75" t="s">
        <v>255</v>
      </c>
      <c r="F8" s="76" t="str">
        <f>LOOKUP(B8,IT2:IT33,IU2:IU33)</f>
        <v>VIII</v>
      </c>
      <c r="L8" s="66"/>
      <c r="IT8" s="72" t="s">
        <v>256</v>
      </c>
      <c r="IU8" s="72" t="s">
        <v>257</v>
      </c>
      <c r="IV8" s="73">
        <v>4</v>
      </c>
    </row>
    <row r="9" spans="1:256" ht="15" customHeight="1" thickBot="1" x14ac:dyDescent="0.25">
      <c r="A9" s="81" t="s">
        <v>258</v>
      </c>
      <c r="B9" s="1727"/>
      <c r="C9" s="1727"/>
      <c r="D9" s="1727"/>
      <c r="E9" s="81" t="s">
        <v>259</v>
      </c>
      <c r="F9" s="82"/>
      <c r="L9" s="66"/>
      <c r="IT9" s="72" t="s">
        <v>260</v>
      </c>
      <c r="IU9" s="72" t="s">
        <v>68</v>
      </c>
      <c r="IV9" s="73">
        <v>4.5</v>
      </c>
    </row>
    <row r="10" spans="1:256" ht="13.5" customHeight="1" thickTop="1" thickBot="1" x14ac:dyDescent="0.25">
      <c r="A10" s="83" t="s">
        <v>261</v>
      </c>
      <c r="B10" s="84" t="s">
        <v>262</v>
      </c>
      <c r="C10" s="85" t="s">
        <v>7</v>
      </c>
      <c r="D10" s="85" t="s">
        <v>263</v>
      </c>
      <c r="E10" s="85" t="s">
        <v>264</v>
      </c>
      <c r="F10" s="85" t="s">
        <v>265</v>
      </c>
      <c r="G10" s="86"/>
      <c r="IT10" s="72" t="s">
        <v>266</v>
      </c>
      <c r="IU10" s="72" t="s">
        <v>267</v>
      </c>
      <c r="IV10" s="73">
        <v>4</v>
      </c>
    </row>
    <row r="11" spans="1:256" ht="4.5" customHeight="1" thickTop="1" x14ac:dyDescent="0.2">
      <c r="A11" s="87"/>
      <c r="B11" s="88"/>
      <c r="C11" s="88"/>
      <c r="D11" s="88"/>
      <c r="E11" s="88"/>
      <c r="F11" s="88"/>
      <c r="G11" s="86"/>
      <c r="IT11" s="73" t="s">
        <v>268</v>
      </c>
      <c r="IU11" s="73" t="s">
        <v>269</v>
      </c>
      <c r="IV11" s="73">
        <v>4</v>
      </c>
    </row>
    <row r="12" spans="1:256" ht="15" customHeight="1" thickBot="1" x14ac:dyDescent="0.3">
      <c r="A12" s="89" t="s">
        <v>11</v>
      </c>
      <c r="B12" s="1728" t="s">
        <v>270</v>
      </c>
      <c r="C12" s="1728"/>
      <c r="D12" s="1728"/>
      <c r="E12" s="1728"/>
      <c r="F12" s="1728"/>
      <c r="G12" s="86"/>
      <c r="N12" s="66"/>
      <c r="IT12" s="72" t="s">
        <v>271</v>
      </c>
      <c r="IU12" s="72" t="s">
        <v>257</v>
      </c>
      <c r="IV12" s="73">
        <v>3</v>
      </c>
    </row>
    <row r="13" spans="1:256" ht="12.75" customHeight="1" thickTop="1" x14ac:dyDescent="0.2">
      <c r="A13" s="90" t="s">
        <v>272</v>
      </c>
      <c r="B13" s="91" t="s">
        <v>273</v>
      </c>
      <c r="C13" s="92">
        <v>1</v>
      </c>
      <c r="D13" s="93" t="s">
        <v>274</v>
      </c>
      <c r="E13" s="92">
        <v>3</v>
      </c>
      <c r="F13" s="94">
        <f>ROUND(C13*E13,2)</f>
        <v>3</v>
      </c>
      <c r="G13" s="95"/>
      <c r="H13" s="95"/>
      <c r="N13" s="66"/>
      <c r="IT13" s="72" t="s">
        <v>275</v>
      </c>
      <c r="IU13" s="72" t="s">
        <v>252</v>
      </c>
      <c r="IV13" s="73">
        <v>3</v>
      </c>
    </row>
    <row r="14" spans="1:256" ht="12.75" customHeight="1" x14ac:dyDescent="0.2">
      <c r="A14" s="96" t="s">
        <v>276</v>
      </c>
      <c r="B14" s="97" t="s">
        <v>277</v>
      </c>
      <c r="C14" s="98">
        <v>1</v>
      </c>
      <c r="D14" s="99" t="s">
        <v>278</v>
      </c>
      <c r="E14" s="98">
        <v>395</v>
      </c>
      <c r="F14" s="100">
        <f t="shared" ref="F14:F40" si="0">ROUND(C14*E14,2)</f>
        <v>395</v>
      </c>
      <c r="G14" s="95"/>
      <c r="H14" s="95"/>
      <c r="N14" s="66"/>
      <c r="IT14" s="72" t="s">
        <v>279</v>
      </c>
      <c r="IU14" s="72" t="s">
        <v>239</v>
      </c>
      <c r="IV14" s="73">
        <v>4.5</v>
      </c>
    </row>
    <row r="15" spans="1:256" ht="12.75" customHeight="1" x14ac:dyDescent="0.2">
      <c r="A15" s="96" t="s">
        <v>280</v>
      </c>
      <c r="B15" s="101" t="s">
        <v>281</v>
      </c>
      <c r="C15" s="98">
        <v>1</v>
      </c>
      <c r="D15" s="99" t="s">
        <v>278</v>
      </c>
      <c r="E15" s="98">
        <v>600</v>
      </c>
      <c r="F15" s="100">
        <f t="shared" si="0"/>
        <v>600</v>
      </c>
      <c r="G15" s="95"/>
      <c r="N15" s="66"/>
      <c r="IT15" s="72" t="s">
        <v>282</v>
      </c>
      <c r="IU15" s="72" t="s">
        <v>257</v>
      </c>
      <c r="IV15" s="73">
        <v>4</v>
      </c>
    </row>
    <row r="16" spans="1:256" ht="12.75" customHeight="1" x14ac:dyDescent="0.2">
      <c r="A16" s="96" t="s">
        <v>283</v>
      </c>
      <c r="B16" s="101" t="s">
        <v>284</v>
      </c>
      <c r="C16" s="98">
        <v>1</v>
      </c>
      <c r="D16" s="99" t="s">
        <v>278</v>
      </c>
      <c r="E16" s="98">
        <v>200</v>
      </c>
      <c r="F16" s="100">
        <f t="shared" si="0"/>
        <v>200</v>
      </c>
      <c r="G16" s="95"/>
      <c r="H16" s="95"/>
      <c r="P16" s="79"/>
      <c r="Q16" s="79"/>
      <c r="IT16" s="72" t="s">
        <v>285</v>
      </c>
      <c r="IU16" s="72" t="s">
        <v>257</v>
      </c>
      <c r="IV16" s="73">
        <v>3</v>
      </c>
    </row>
    <row r="17" spans="1:256" ht="12.75" customHeight="1" x14ac:dyDescent="0.2">
      <c r="A17" s="96" t="s">
        <v>286</v>
      </c>
      <c r="B17" s="101" t="s">
        <v>287</v>
      </c>
      <c r="C17" s="98">
        <v>1</v>
      </c>
      <c r="D17" s="99" t="s">
        <v>88</v>
      </c>
      <c r="E17" s="98">
        <v>1200</v>
      </c>
      <c r="F17" s="100">
        <f t="shared" si="0"/>
        <v>1200</v>
      </c>
      <c r="G17" s="95"/>
      <c r="H17" s="95"/>
      <c r="IT17" s="72" t="s">
        <v>288</v>
      </c>
      <c r="IU17" s="72" t="s">
        <v>267</v>
      </c>
      <c r="IV17" s="73">
        <v>3</v>
      </c>
    </row>
    <row r="18" spans="1:256" ht="12.75" customHeight="1" x14ac:dyDescent="0.2">
      <c r="A18" s="96" t="s">
        <v>289</v>
      </c>
      <c r="B18" s="101" t="s">
        <v>290</v>
      </c>
      <c r="C18" s="98">
        <v>1</v>
      </c>
      <c r="D18" s="99" t="s">
        <v>88</v>
      </c>
      <c r="E18" s="98">
        <v>1300</v>
      </c>
      <c r="F18" s="100">
        <f t="shared" si="0"/>
        <v>1300</v>
      </c>
      <c r="G18" s="95"/>
      <c r="H18" s="95"/>
      <c r="IT18" s="72" t="s">
        <v>291</v>
      </c>
      <c r="IU18" s="72" t="s">
        <v>252</v>
      </c>
      <c r="IV18" s="73">
        <v>4</v>
      </c>
    </row>
    <row r="19" spans="1:256" ht="12.75" customHeight="1" x14ac:dyDescent="0.2">
      <c r="A19" s="96" t="s">
        <v>292</v>
      </c>
      <c r="B19" s="101" t="s">
        <v>293</v>
      </c>
      <c r="C19" s="98">
        <v>1</v>
      </c>
      <c r="D19" s="99" t="s">
        <v>88</v>
      </c>
      <c r="E19" s="98">
        <v>1300</v>
      </c>
      <c r="F19" s="100">
        <f>ROUND(C19*E19,2)</f>
        <v>1300</v>
      </c>
      <c r="G19" s="95"/>
      <c r="H19" s="95"/>
      <c r="J19" s="67">
        <f>3000/40</f>
        <v>75</v>
      </c>
      <c r="IT19" s="72" t="s">
        <v>294</v>
      </c>
      <c r="IU19" s="72" t="s">
        <v>267</v>
      </c>
      <c r="IV19" s="73">
        <v>3</v>
      </c>
    </row>
    <row r="20" spans="1:256" ht="12.75" customHeight="1" x14ac:dyDescent="0.2">
      <c r="A20" s="96" t="s">
        <v>295</v>
      </c>
      <c r="B20" s="97" t="s">
        <v>296</v>
      </c>
      <c r="C20" s="98">
        <v>1</v>
      </c>
      <c r="D20" s="99" t="s">
        <v>297</v>
      </c>
      <c r="E20" s="98">
        <v>2800</v>
      </c>
      <c r="F20" s="100">
        <f t="shared" si="0"/>
        <v>2800</v>
      </c>
      <c r="G20" s="95"/>
      <c r="H20" s="95"/>
      <c r="IT20" s="72" t="s">
        <v>298</v>
      </c>
      <c r="IU20" s="72" t="s">
        <v>13</v>
      </c>
      <c r="IV20" s="73">
        <v>4.5</v>
      </c>
    </row>
    <row r="21" spans="1:256" ht="12.75" customHeight="1" x14ac:dyDescent="0.2">
      <c r="A21" s="96" t="s">
        <v>299</v>
      </c>
      <c r="B21" s="101" t="s">
        <v>300</v>
      </c>
      <c r="C21" s="98">
        <v>1</v>
      </c>
      <c r="D21" s="99" t="s">
        <v>297</v>
      </c>
      <c r="E21" s="102">
        <v>2406.5</v>
      </c>
      <c r="F21" s="100">
        <f t="shared" si="0"/>
        <v>2406.5</v>
      </c>
      <c r="G21" s="95"/>
      <c r="H21" s="95"/>
      <c r="IT21" s="72" t="s">
        <v>301</v>
      </c>
      <c r="IU21" s="72" t="s">
        <v>247</v>
      </c>
      <c r="IV21" s="73">
        <v>3</v>
      </c>
    </row>
    <row r="22" spans="1:256" ht="12.75" customHeight="1" x14ac:dyDescent="0.2">
      <c r="A22" s="96" t="s">
        <v>302</v>
      </c>
      <c r="B22" s="101" t="s">
        <v>303</v>
      </c>
      <c r="C22" s="98">
        <v>1</v>
      </c>
      <c r="D22" s="99" t="s">
        <v>297</v>
      </c>
      <c r="E22" s="98">
        <v>323.63</v>
      </c>
      <c r="F22" s="100">
        <f t="shared" si="0"/>
        <v>323.63</v>
      </c>
      <c r="G22" s="95"/>
      <c r="H22" s="95"/>
      <c r="IT22" s="72" t="s">
        <v>254</v>
      </c>
      <c r="IU22" s="72" t="s">
        <v>239</v>
      </c>
      <c r="IV22" s="73">
        <v>4.5</v>
      </c>
    </row>
    <row r="23" spans="1:256" ht="12.75" customHeight="1" x14ac:dyDescent="0.2">
      <c r="A23" s="96" t="s">
        <v>304</v>
      </c>
      <c r="B23" s="101" t="s">
        <v>305</v>
      </c>
      <c r="C23" s="98">
        <v>1</v>
      </c>
      <c r="D23" s="99" t="s">
        <v>297</v>
      </c>
      <c r="E23" s="98">
        <v>486.5</v>
      </c>
      <c r="F23" s="100">
        <f t="shared" si="0"/>
        <v>486.5</v>
      </c>
      <c r="G23" s="95"/>
      <c r="H23" s="95"/>
      <c r="IT23" s="72" t="s">
        <v>306</v>
      </c>
      <c r="IU23" s="72" t="s">
        <v>247</v>
      </c>
      <c r="IV23" s="73">
        <v>3</v>
      </c>
    </row>
    <row r="24" spans="1:256" ht="12.75" customHeight="1" x14ac:dyDescent="0.2">
      <c r="A24" s="96" t="s">
        <v>307</v>
      </c>
      <c r="B24" s="97" t="s">
        <v>308</v>
      </c>
      <c r="C24" s="98">
        <v>1</v>
      </c>
      <c r="D24" s="99" t="s">
        <v>8</v>
      </c>
      <c r="E24" s="102">
        <v>29.88</v>
      </c>
      <c r="F24" s="100">
        <f t="shared" si="0"/>
        <v>29.88</v>
      </c>
      <c r="G24" s="95"/>
      <c r="H24" s="95"/>
      <c r="IT24" s="72" t="s">
        <v>309</v>
      </c>
      <c r="IU24" s="72" t="s">
        <v>310</v>
      </c>
      <c r="IV24" s="73">
        <v>4</v>
      </c>
    </row>
    <row r="25" spans="1:256" ht="12.75" customHeight="1" x14ac:dyDescent="0.2">
      <c r="A25" s="96" t="s">
        <v>311</v>
      </c>
      <c r="B25" s="97" t="s">
        <v>312</v>
      </c>
      <c r="C25" s="98">
        <v>1</v>
      </c>
      <c r="D25" s="99" t="s">
        <v>8</v>
      </c>
      <c r="E25" s="98">
        <v>36</v>
      </c>
      <c r="F25" s="100">
        <f t="shared" si="0"/>
        <v>36</v>
      </c>
      <c r="G25" s="95"/>
      <c r="H25" s="95"/>
      <c r="IT25" s="72" t="s">
        <v>313</v>
      </c>
      <c r="IU25" s="72" t="s">
        <v>252</v>
      </c>
      <c r="IV25" s="73">
        <v>4</v>
      </c>
    </row>
    <row r="26" spans="1:256" ht="12.75" customHeight="1" x14ac:dyDescent="0.2">
      <c r="A26" s="96" t="s">
        <v>314</v>
      </c>
      <c r="B26" s="97" t="s">
        <v>315</v>
      </c>
      <c r="C26" s="98">
        <v>1</v>
      </c>
      <c r="D26" s="99" t="s">
        <v>8</v>
      </c>
      <c r="E26" s="102">
        <v>39.979999999999997</v>
      </c>
      <c r="F26" s="100">
        <f t="shared" si="0"/>
        <v>39.979999999999997</v>
      </c>
      <c r="G26" s="95"/>
      <c r="H26" s="95"/>
      <c r="IT26" s="72" t="s">
        <v>316</v>
      </c>
      <c r="IU26" s="72" t="s">
        <v>247</v>
      </c>
      <c r="IV26" s="73">
        <v>2</v>
      </c>
    </row>
    <row r="27" spans="1:256" ht="12.75" customHeight="1" x14ac:dyDescent="0.2">
      <c r="A27" s="96" t="s">
        <v>317</v>
      </c>
      <c r="B27" s="97" t="s">
        <v>318</v>
      </c>
      <c r="C27" s="98">
        <v>1</v>
      </c>
      <c r="D27" s="99" t="s">
        <v>8</v>
      </c>
      <c r="E27" s="98">
        <v>80</v>
      </c>
      <c r="F27" s="100">
        <f t="shared" si="0"/>
        <v>80</v>
      </c>
      <c r="G27" s="95"/>
      <c r="H27" s="95"/>
      <c r="IT27" s="72" t="s">
        <v>319</v>
      </c>
      <c r="IU27" s="72" t="s">
        <v>247</v>
      </c>
      <c r="IV27" s="73">
        <v>3</v>
      </c>
    </row>
    <row r="28" spans="1:256" ht="12.75" customHeight="1" x14ac:dyDescent="0.2">
      <c r="A28" s="96" t="s">
        <v>320</v>
      </c>
      <c r="B28" s="101" t="s">
        <v>321</v>
      </c>
      <c r="C28" s="98">
        <v>1</v>
      </c>
      <c r="D28" s="99" t="s">
        <v>172</v>
      </c>
      <c r="E28" s="98">
        <v>45</v>
      </c>
      <c r="F28" s="100">
        <f t="shared" si="0"/>
        <v>45</v>
      </c>
      <c r="G28" s="95"/>
      <c r="H28" s="95"/>
      <c r="IT28" s="72" t="s">
        <v>322</v>
      </c>
      <c r="IU28" s="72" t="s">
        <v>68</v>
      </c>
      <c r="IV28" s="73">
        <v>4</v>
      </c>
    </row>
    <row r="29" spans="1:256" ht="12.75" customHeight="1" x14ac:dyDescent="0.2">
      <c r="A29" s="96" t="s">
        <v>323</v>
      </c>
      <c r="B29" s="101" t="s">
        <v>324</v>
      </c>
      <c r="C29" s="98">
        <v>1</v>
      </c>
      <c r="D29" s="99" t="s">
        <v>325</v>
      </c>
      <c r="E29" s="98">
        <v>35</v>
      </c>
      <c r="F29" s="100">
        <f t="shared" si="0"/>
        <v>35</v>
      </c>
      <c r="G29" s="95"/>
      <c r="H29" s="95"/>
      <c r="IT29" s="72" t="s">
        <v>326</v>
      </c>
      <c r="IU29" s="72" t="s">
        <v>257</v>
      </c>
      <c r="IV29" s="73">
        <v>2.5</v>
      </c>
    </row>
    <row r="30" spans="1:256" ht="12.75" customHeight="1" x14ac:dyDescent="0.2">
      <c r="A30" s="96" t="s">
        <v>327</v>
      </c>
      <c r="B30" s="101" t="s">
        <v>328</v>
      </c>
      <c r="C30" s="98">
        <v>1</v>
      </c>
      <c r="D30" s="99" t="s">
        <v>325</v>
      </c>
      <c r="E30" s="98">
        <v>59</v>
      </c>
      <c r="F30" s="100">
        <f t="shared" si="0"/>
        <v>59</v>
      </c>
      <c r="G30" s="95"/>
      <c r="H30" s="95"/>
      <c r="IT30" s="72" t="s">
        <v>329</v>
      </c>
      <c r="IU30" s="72" t="s">
        <v>252</v>
      </c>
      <c r="IV30" s="73">
        <v>3</v>
      </c>
    </row>
    <row r="31" spans="1:256" ht="12.75" customHeight="1" x14ac:dyDescent="0.2">
      <c r="A31" s="96" t="s">
        <v>330</v>
      </c>
      <c r="B31" s="101" t="s">
        <v>331</v>
      </c>
      <c r="C31" s="98">
        <v>1</v>
      </c>
      <c r="D31" s="99" t="s">
        <v>325</v>
      </c>
      <c r="E31" s="98">
        <v>40</v>
      </c>
      <c r="F31" s="100">
        <f t="shared" si="0"/>
        <v>40</v>
      </c>
      <c r="G31" s="95"/>
      <c r="H31" s="95"/>
      <c r="IT31" s="72" t="s">
        <v>332</v>
      </c>
      <c r="IU31" s="72" t="s">
        <v>267</v>
      </c>
      <c r="IV31" s="73">
        <v>3</v>
      </c>
    </row>
    <row r="32" spans="1:256" ht="12.75" customHeight="1" x14ac:dyDescent="0.2">
      <c r="A32" s="96" t="s">
        <v>333</v>
      </c>
      <c r="B32" s="101" t="s">
        <v>334</v>
      </c>
      <c r="C32" s="98">
        <v>1</v>
      </c>
      <c r="D32" s="99" t="s">
        <v>274</v>
      </c>
      <c r="E32" s="98">
        <v>146.69999999999999</v>
      </c>
      <c r="F32" s="100">
        <f t="shared" si="0"/>
        <v>146.69999999999999</v>
      </c>
      <c r="G32" s="95"/>
      <c r="H32" s="95"/>
      <c r="IT32" s="72" t="s">
        <v>335</v>
      </c>
      <c r="IU32" s="72" t="s">
        <v>13</v>
      </c>
      <c r="IV32" s="73">
        <v>4</v>
      </c>
    </row>
    <row r="33" spans="1:256" ht="12.75" customHeight="1" x14ac:dyDescent="0.2">
      <c r="A33" s="96" t="s">
        <v>336</v>
      </c>
      <c r="B33" s="101" t="s">
        <v>337</v>
      </c>
      <c r="C33" s="98">
        <v>1</v>
      </c>
      <c r="D33" s="99" t="s">
        <v>274</v>
      </c>
      <c r="E33" s="98">
        <v>197.7</v>
      </c>
      <c r="F33" s="100">
        <f t="shared" si="0"/>
        <v>197.7</v>
      </c>
      <c r="G33" s="95"/>
      <c r="H33" s="95"/>
      <c r="IT33" s="72" t="s">
        <v>338</v>
      </c>
      <c r="IU33" s="72" t="s">
        <v>13</v>
      </c>
      <c r="IV33" s="73">
        <v>4</v>
      </c>
    </row>
    <row r="34" spans="1:256" ht="12.75" customHeight="1" x14ac:dyDescent="0.2">
      <c r="A34" s="96" t="s">
        <v>339</v>
      </c>
      <c r="B34" s="101" t="s">
        <v>340</v>
      </c>
      <c r="C34" s="98">
        <v>1</v>
      </c>
      <c r="D34" s="99" t="s">
        <v>274</v>
      </c>
      <c r="E34" s="98">
        <v>111.89</v>
      </c>
      <c r="F34" s="100">
        <f t="shared" si="0"/>
        <v>111.89</v>
      </c>
      <c r="G34" s="95"/>
      <c r="H34" s="95"/>
    </row>
    <row r="35" spans="1:256" ht="12.75" customHeight="1" x14ac:dyDescent="0.2">
      <c r="A35" s="96" t="s">
        <v>341</v>
      </c>
      <c r="B35" s="103" t="str">
        <f>CONCATENATE("% TRANSPORTE  ",B8)</f>
        <v>% TRANSPORTE  PEDERNALES</v>
      </c>
      <c r="C35" s="98">
        <f>LOOKUP(B8,IT2:IT33,IV2:IV33)</f>
        <v>4.5</v>
      </c>
      <c r="D35" s="99" t="s">
        <v>234</v>
      </c>
      <c r="E35" s="98">
        <f>C35/100</f>
        <v>4.4999999999999998E-2</v>
      </c>
      <c r="F35" s="100">
        <f>E35+1</f>
        <v>1.0449999999999999</v>
      </c>
      <c r="G35" s="95"/>
      <c r="H35" s="95"/>
    </row>
    <row r="36" spans="1:256" ht="12.75" customHeight="1" x14ac:dyDescent="0.2">
      <c r="A36" s="96" t="s">
        <v>342</v>
      </c>
      <c r="B36" s="101" t="str">
        <f>"MAESTRO @ "&amp;FIXED(E36)</f>
        <v>MAESTRO @ 1,977.00</v>
      </c>
      <c r="C36" s="98">
        <v>1</v>
      </c>
      <c r="D36" s="99" t="s">
        <v>343</v>
      </c>
      <c r="E36" s="98">
        <v>1977</v>
      </c>
      <c r="F36" s="100">
        <f t="shared" si="0"/>
        <v>1977</v>
      </c>
      <c r="G36" s="95"/>
      <c r="H36" s="95"/>
    </row>
    <row r="37" spans="1:256" ht="12.75" customHeight="1" x14ac:dyDescent="0.2">
      <c r="A37" s="96" t="s">
        <v>344</v>
      </c>
      <c r="B37" s="101" t="str">
        <f>"OPERARIO 1º @ "&amp;FIXED(E37)</f>
        <v>OPERARIO 1º @ 1,569.00</v>
      </c>
      <c r="C37" s="98">
        <v>1</v>
      </c>
      <c r="D37" s="99" t="s">
        <v>343</v>
      </c>
      <c r="E37" s="98">
        <v>1569</v>
      </c>
      <c r="F37" s="100">
        <f t="shared" si="0"/>
        <v>1569</v>
      </c>
      <c r="G37" s="95"/>
      <c r="H37" s="95"/>
    </row>
    <row r="38" spans="1:256" ht="12.75" customHeight="1" x14ac:dyDescent="0.2">
      <c r="A38" s="96" t="s">
        <v>345</v>
      </c>
      <c r="B38" s="101" t="str">
        <f>"OPERARIO 2º @ "&amp;FIXED(E38)</f>
        <v>OPERARIO 2º @ 1,255.00</v>
      </c>
      <c r="C38" s="98">
        <v>1</v>
      </c>
      <c r="D38" s="99" t="s">
        <v>343</v>
      </c>
      <c r="E38" s="98">
        <v>1255</v>
      </c>
      <c r="F38" s="100">
        <f t="shared" si="0"/>
        <v>1255</v>
      </c>
      <c r="G38" s="95"/>
      <c r="H38" s="95"/>
    </row>
    <row r="39" spans="1:256" ht="12.75" customHeight="1" x14ac:dyDescent="0.2">
      <c r="A39" s="96" t="s">
        <v>346</v>
      </c>
      <c r="B39" s="101" t="str">
        <f>"OPERARIO 3º @ "&amp;FIXED(E39)</f>
        <v>OPERARIO 3º @ 1,100.00</v>
      </c>
      <c r="C39" s="98">
        <v>1</v>
      </c>
      <c r="D39" s="99" t="s">
        <v>343</v>
      </c>
      <c r="E39" s="98">
        <v>1100</v>
      </c>
      <c r="F39" s="100">
        <f t="shared" si="0"/>
        <v>1100</v>
      </c>
      <c r="G39" s="95"/>
      <c r="H39" s="95"/>
    </row>
    <row r="40" spans="1:256" ht="12.75" customHeight="1" x14ac:dyDescent="0.2">
      <c r="A40" s="96" t="s">
        <v>347</v>
      </c>
      <c r="B40" s="101" t="str">
        <f>"AYUDANTE @ " &amp;FIXED(E40)</f>
        <v>AYUDANTE @ 847.00</v>
      </c>
      <c r="C40" s="98">
        <v>1</v>
      </c>
      <c r="D40" s="99" t="s">
        <v>343</v>
      </c>
      <c r="E40" s="98">
        <v>847</v>
      </c>
      <c r="F40" s="100">
        <f t="shared" si="0"/>
        <v>847</v>
      </c>
      <c r="G40" s="95"/>
      <c r="H40" s="95"/>
      <c r="K40" s="66"/>
    </row>
    <row r="41" spans="1:256" ht="12.75" customHeight="1" x14ac:dyDescent="0.2">
      <c r="A41" s="96" t="s">
        <v>348</v>
      </c>
      <c r="B41" s="104" t="str">
        <f>"TRABAJADOR CALIFICADO @ "&amp;FIXED(E41)</f>
        <v>TRABAJADOR CALIFICADO @ 721.00</v>
      </c>
      <c r="C41" s="98">
        <v>1</v>
      </c>
      <c r="D41" s="99" t="s">
        <v>343</v>
      </c>
      <c r="E41" s="98">
        <v>721</v>
      </c>
      <c r="F41" s="100">
        <f>ROUND(C41*E41,2)</f>
        <v>721</v>
      </c>
      <c r="G41" s="95"/>
      <c r="H41" s="95"/>
      <c r="K41" s="66"/>
    </row>
    <row r="42" spans="1:256" ht="12.75" customHeight="1" x14ac:dyDescent="0.2">
      <c r="A42" s="96" t="s">
        <v>349</v>
      </c>
      <c r="B42" s="104" t="str">
        <f>"PEON @ "&amp;FIXED(E42)</f>
        <v>PEON @ 659.00</v>
      </c>
      <c r="C42" s="98">
        <v>1</v>
      </c>
      <c r="D42" s="99" t="s">
        <v>343</v>
      </c>
      <c r="E42" s="98">
        <v>659</v>
      </c>
      <c r="F42" s="100">
        <f>ROUND(C42*E42,2)</f>
        <v>659</v>
      </c>
      <c r="G42" s="95"/>
      <c r="H42" s="95"/>
    </row>
    <row r="43" spans="1:256" ht="12.75" customHeight="1" x14ac:dyDescent="0.2">
      <c r="A43" s="96" t="s">
        <v>350</v>
      </c>
      <c r="B43" s="101" t="str">
        <f>"GRIGADA TOPOGRAFICA @ "&amp;FIXED(E43)</f>
        <v>GRIGADA TOPOGRAFICA @ 6,937.00</v>
      </c>
      <c r="C43" s="98">
        <v>1</v>
      </c>
      <c r="D43" s="99" t="s">
        <v>343</v>
      </c>
      <c r="E43" s="98">
        <v>6937</v>
      </c>
      <c r="F43" s="100">
        <f>ROUND(C43*E43,2)</f>
        <v>6937</v>
      </c>
      <c r="G43" s="95"/>
      <c r="H43" s="95"/>
    </row>
    <row r="44" spans="1:256" ht="12.75" customHeight="1" x14ac:dyDescent="0.2">
      <c r="A44" s="96" t="s">
        <v>351</v>
      </c>
      <c r="B44" s="105" t="s">
        <v>352</v>
      </c>
      <c r="C44" s="106">
        <v>1</v>
      </c>
      <c r="D44" s="99" t="s">
        <v>353</v>
      </c>
      <c r="E44" s="107">
        <v>58.527099999999997</v>
      </c>
      <c r="F44" s="108">
        <f>ROUND(C44*E44,4)</f>
        <v>58.527099999999997</v>
      </c>
      <c r="G44" s="95"/>
      <c r="H44" s="95"/>
    </row>
    <row r="45" spans="1:256" ht="12.75" customHeight="1" x14ac:dyDescent="0.2">
      <c r="A45" s="96" t="s">
        <v>351</v>
      </c>
      <c r="B45" s="95" t="str">
        <f>"DISTANCIA DESDE "&amp;B8</f>
        <v>DISTANCIA DESDE PEDERNALES</v>
      </c>
      <c r="C45" s="109">
        <v>1</v>
      </c>
      <c r="D45" s="110" t="s">
        <v>354</v>
      </c>
      <c r="E45" s="111" t="s">
        <v>355</v>
      </c>
      <c r="F45" s="112"/>
      <c r="G45" s="95"/>
      <c r="H45" s="95"/>
    </row>
    <row r="46" spans="1:256" ht="12.95" customHeight="1" x14ac:dyDescent="0.2">
      <c r="A46" s="113" t="s">
        <v>356</v>
      </c>
      <c r="B46" s="114" t="s">
        <v>357</v>
      </c>
      <c r="C46" s="115"/>
      <c r="D46" s="110"/>
      <c r="E46" s="116"/>
      <c r="F46" s="117"/>
      <c r="G46" s="95"/>
      <c r="H46" s="95"/>
      <c r="U46" s="118" t="s">
        <v>358</v>
      </c>
      <c r="V46" s="73" t="s">
        <v>359</v>
      </c>
      <c r="W46" s="73" t="s">
        <v>360</v>
      </c>
    </row>
    <row r="47" spans="1:256" ht="12.95" customHeight="1" x14ac:dyDescent="0.2">
      <c r="A47" s="119">
        <v>0.08</v>
      </c>
      <c r="B47" s="116" t="s">
        <v>361</v>
      </c>
      <c r="C47" s="120">
        <f>IF(C45&lt;5,C45,5)</f>
        <v>1</v>
      </c>
      <c r="D47" s="121" t="s">
        <v>354</v>
      </c>
      <c r="E47" s="122">
        <f>LOOKUP($A$47,'[29]LIST. MATER.'!$C$67:$E$67,'[29]LIST. MATER.'!C69:E69)</f>
        <v>24.76</v>
      </c>
      <c r="F47" s="123">
        <f>ROUND(E47*C47,2)</f>
        <v>24.76</v>
      </c>
      <c r="G47" s="95"/>
      <c r="H47" s="95"/>
      <c r="U47" s="124" t="s">
        <v>361</v>
      </c>
      <c r="V47" s="66">
        <v>21.34</v>
      </c>
      <c r="W47" s="66">
        <v>26.68</v>
      </c>
      <c r="Y47" s="125">
        <v>0.08</v>
      </c>
    </row>
    <row r="48" spans="1:256" ht="12.95" customHeight="1" x14ac:dyDescent="0.2">
      <c r="A48" s="119">
        <v>0.08</v>
      </c>
      <c r="B48" s="116" t="s">
        <v>362</v>
      </c>
      <c r="C48" s="120">
        <f>IF(AND(C45&gt;5,C45&lt;=10),C45-5,IF(C45&gt;10,5,0))</f>
        <v>0</v>
      </c>
      <c r="D48" s="121" t="s">
        <v>354</v>
      </c>
      <c r="E48" s="122">
        <f>LOOKUP($A$48,'[29]LIST. MATER.'!$C$67:$E$67,'[29]LIST. MATER.'!C70:E70)</f>
        <v>19.22</v>
      </c>
      <c r="F48" s="123">
        <f>ROUND(E48*C48,2)</f>
        <v>0</v>
      </c>
      <c r="G48" s="95"/>
      <c r="H48" s="95"/>
      <c r="U48" s="124" t="s">
        <v>362</v>
      </c>
      <c r="V48" s="66">
        <v>16.57</v>
      </c>
      <c r="W48" s="66">
        <v>20.71</v>
      </c>
      <c r="Y48" s="125">
        <v>0.12</v>
      </c>
    </row>
    <row r="49" spans="1:25" ht="12.95" customHeight="1" x14ac:dyDescent="0.2">
      <c r="A49" s="119">
        <v>0.08</v>
      </c>
      <c r="B49" s="116" t="s">
        <v>363</v>
      </c>
      <c r="C49" s="120">
        <f>IF(AND(C45&gt;10,C45&lt;=20),C45-10,IF(C45&gt;20,10,0))</f>
        <v>0</v>
      </c>
      <c r="D49" s="121" t="s">
        <v>354</v>
      </c>
      <c r="E49" s="122">
        <f>LOOKUP($A$49,'[29]LIST. MATER.'!$C$67:$E$67,'[29]LIST. MATER.'!C71:E71)</f>
        <v>18.21</v>
      </c>
      <c r="F49" s="123">
        <f>ROUND(E49*C49,2)</f>
        <v>0</v>
      </c>
      <c r="G49" s="95"/>
      <c r="H49" s="95"/>
      <c r="U49" s="124" t="s">
        <v>363</v>
      </c>
      <c r="V49" s="66">
        <v>15.7</v>
      </c>
      <c r="W49" s="66">
        <v>19.63</v>
      </c>
      <c r="Y49" s="125">
        <v>0.15</v>
      </c>
    </row>
    <row r="50" spans="1:25" ht="12.95" customHeight="1" x14ac:dyDescent="0.2">
      <c r="A50" s="119">
        <v>0.08</v>
      </c>
      <c r="B50" s="116" t="s">
        <v>364</v>
      </c>
      <c r="C50" s="120">
        <f>IF(C45&gt;20,C45-20,0)</f>
        <v>0</v>
      </c>
      <c r="D50" s="121" t="s">
        <v>354</v>
      </c>
      <c r="E50" s="122">
        <f>LOOKUP($A$50,'[29]LIST. MATER.'!$C$67:$E$67,'[29]LIST. MATER.'!C72:E72)</f>
        <v>17.88</v>
      </c>
      <c r="F50" s="123">
        <f>ROUND(E50*C50,2)</f>
        <v>0</v>
      </c>
      <c r="G50" s="95"/>
      <c r="H50" s="95"/>
      <c r="U50" s="124" t="s">
        <v>364</v>
      </c>
      <c r="V50" s="66">
        <v>15.41</v>
      </c>
      <c r="W50" s="66">
        <v>19.260000000000002</v>
      </c>
    </row>
    <row r="51" spans="1:25" ht="12.95" customHeight="1" x14ac:dyDescent="0.2">
      <c r="A51" s="126"/>
      <c r="B51" s="116"/>
      <c r="C51" s="116"/>
      <c r="D51" s="127" t="s">
        <v>365</v>
      </c>
      <c r="E51" s="115">
        <f>F51/C45</f>
        <v>24.76</v>
      </c>
      <c r="F51" s="128">
        <f>SUM(F47:F50)</f>
        <v>24.76</v>
      </c>
      <c r="G51" s="95"/>
      <c r="H51" s="95"/>
    </row>
    <row r="52" spans="1:25" ht="12.95" customHeight="1" x14ac:dyDescent="0.2">
      <c r="A52" s="96" t="s">
        <v>366</v>
      </c>
      <c r="B52" s="103" t="s">
        <v>367</v>
      </c>
      <c r="C52" s="109">
        <v>1</v>
      </c>
      <c r="D52" s="110" t="s">
        <v>354</v>
      </c>
      <c r="E52" s="111" t="s">
        <v>368</v>
      </c>
      <c r="F52" s="129"/>
      <c r="G52" s="95"/>
      <c r="H52" s="95"/>
    </row>
    <row r="53" spans="1:25" ht="12.95" customHeight="1" x14ac:dyDescent="0.2">
      <c r="A53" s="113" t="s">
        <v>356</v>
      </c>
      <c r="B53" s="114" t="s">
        <v>360</v>
      </c>
      <c r="C53" s="115"/>
      <c r="D53" s="110"/>
      <c r="E53" s="116"/>
      <c r="F53" s="117"/>
      <c r="G53" s="95"/>
      <c r="H53" s="95"/>
    </row>
    <row r="54" spans="1:25" ht="12.95" customHeight="1" x14ac:dyDescent="0.2">
      <c r="A54" s="119">
        <v>0.08</v>
      </c>
      <c r="B54" s="116" t="s">
        <v>361</v>
      </c>
      <c r="C54" s="120">
        <f>IF(C52&lt;5,C52,5)</f>
        <v>1</v>
      </c>
      <c r="D54" s="121" t="s">
        <v>354</v>
      </c>
      <c r="E54" s="122">
        <f>LOOKUP($A$54,'[29]LIST. MATER.'!$C$67:$E$67,'[29]LIST. MATER.'!C74:E74)</f>
        <v>30.95</v>
      </c>
      <c r="F54" s="123">
        <f>ROUND(E54*C54,2)</f>
        <v>30.95</v>
      </c>
      <c r="G54" s="95"/>
      <c r="H54" s="95"/>
    </row>
    <row r="55" spans="1:25" ht="12.95" customHeight="1" x14ac:dyDescent="0.2">
      <c r="A55" s="119">
        <v>0.08</v>
      </c>
      <c r="B55" s="116" t="s">
        <v>362</v>
      </c>
      <c r="C55" s="120">
        <f>IF(AND(C52&gt;5,C52&lt;=10),C52-5,IF(C52&gt;10,5,0))</f>
        <v>0</v>
      </c>
      <c r="D55" s="121" t="s">
        <v>354</v>
      </c>
      <c r="E55" s="122">
        <f>LOOKUP($A$55,'[29]LIST. MATER.'!$C$67:$E$67,'[29]LIST. MATER.'!C75:E75)</f>
        <v>24.03</v>
      </c>
      <c r="F55" s="123">
        <f>ROUND(E55*C55,2)</f>
        <v>0</v>
      </c>
      <c r="G55" s="95"/>
      <c r="H55" s="95"/>
    </row>
    <row r="56" spans="1:25" ht="12.95" customHeight="1" x14ac:dyDescent="0.2">
      <c r="A56" s="119">
        <v>0.08</v>
      </c>
      <c r="B56" s="116" t="s">
        <v>363</v>
      </c>
      <c r="C56" s="120">
        <f>IF(AND(C52&gt;10,C52&lt;=20),C52-10,IF(C52&gt;20,10,0))</f>
        <v>0</v>
      </c>
      <c r="D56" s="121" t="s">
        <v>354</v>
      </c>
      <c r="E56" s="122">
        <f>LOOKUP($A$56,'[29]LIST. MATER.'!$C$67:$E$67,'[29]LIST. MATER.'!C76:E76)</f>
        <v>22.76</v>
      </c>
      <c r="F56" s="123">
        <f>ROUND(E56*C56,2)</f>
        <v>0</v>
      </c>
      <c r="G56" s="95"/>
      <c r="H56" s="95"/>
    </row>
    <row r="57" spans="1:25" ht="12.95" customHeight="1" x14ac:dyDescent="0.2">
      <c r="A57" s="119">
        <v>0.08</v>
      </c>
      <c r="B57" s="116" t="s">
        <v>364</v>
      </c>
      <c r="C57" s="120">
        <f>IF(C52&gt;20,C52-20,0)</f>
        <v>0</v>
      </c>
      <c r="D57" s="121" t="s">
        <v>354</v>
      </c>
      <c r="E57" s="122">
        <f>LOOKUP($A$57,'[29]LIST. MATER.'!$C$67:$E$67,'[29]LIST. MATER.'!C77:E77)</f>
        <v>22.35</v>
      </c>
      <c r="F57" s="123">
        <f>ROUND(E57*C57,2)</f>
        <v>0</v>
      </c>
      <c r="G57" s="95"/>
      <c r="H57" s="95"/>
    </row>
    <row r="58" spans="1:25" ht="12.95" customHeight="1" x14ac:dyDescent="0.2">
      <c r="A58" s="126"/>
      <c r="B58" s="116"/>
      <c r="C58" s="116"/>
      <c r="D58" s="127" t="s">
        <v>365</v>
      </c>
      <c r="E58" s="115">
        <f>F58/C52</f>
        <v>30.95</v>
      </c>
      <c r="F58" s="128">
        <f>SUM(F54:F57)</f>
        <v>30.95</v>
      </c>
      <c r="G58" s="95"/>
      <c r="H58" s="95"/>
    </row>
    <row r="59" spans="1:25" ht="12.95" customHeight="1" thickBot="1" x14ac:dyDescent="0.25">
      <c r="B59" s="131"/>
      <c r="C59" s="132"/>
      <c r="D59" s="133"/>
      <c r="E59" s="132"/>
      <c r="F59" s="132"/>
      <c r="G59" s="95"/>
      <c r="H59" s="95"/>
    </row>
    <row r="60" spans="1:25" ht="12.95" customHeight="1" thickTop="1" x14ac:dyDescent="0.2">
      <c r="A60" s="134"/>
      <c r="B60" s="135" t="s">
        <v>369</v>
      </c>
      <c r="C60" s="136">
        <v>1</v>
      </c>
      <c r="D60" s="93" t="s">
        <v>354</v>
      </c>
      <c r="E60" s="137">
        <f>F60/C60</f>
        <v>24.76</v>
      </c>
      <c r="F60" s="138">
        <f>IF(C60&lt;=5,C60*$E$47,IF(AND(C60&gt;5,C60&lt;=10),5*$E$47+(C60-5)*$E$48,IF(AND(C60&gt;10,C60&lt;=20),5*$E$47+5*$E$48+(C60-10)*$E$49,($E$47+$E$48)*5+$E$49*10+(C60-20)*$E$50)))</f>
        <v>24.76</v>
      </c>
      <c r="G60" s="95"/>
      <c r="H60" s="95"/>
    </row>
    <row r="61" spans="1:25" ht="7.5" customHeight="1" x14ac:dyDescent="0.2">
      <c r="A61" s="126"/>
      <c r="B61" s="139"/>
      <c r="C61" s="140"/>
      <c r="D61" s="99"/>
      <c r="E61" s="140"/>
      <c r="F61" s="141"/>
      <c r="G61" s="95"/>
      <c r="H61" s="95"/>
    </row>
    <row r="62" spans="1:25" ht="12.95" customHeight="1" thickBot="1" x14ac:dyDescent="0.25">
      <c r="A62" s="142"/>
      <c r="B62" s="143" t="s">
        <v>370</v>
      </c>
      <c r="C62" s="144">
        <v>1</v>
      </c>
      <c r="D62" s="145" t="s">
        <v>354</v>
      </c>
      <c r="E62" s="146">
        <f>F62/C62</f>
        <v>30.95</v>
      </c>
      <c r="F62" s="147">
        <f>IF(C62&lt;=5,C62*$E$54,IF(AND(C62&gt;5,C62&lt;=10),5*$E$54+(C62-5)*$E$55,IF(AND(C62&gt;10,C62&lt;=20),5*$E$54+5*$E$55+(C62-10)*$E$56,($E$54+$E$55)*5+$E$56*10+(C62-20)*$E$57)))</f>
        <v>30.95</v>
      </c>
      <c r="G62" s="95"/>
      <c r="H62" s="95"/>
    </row>
    <row r="63" spans="1:25" ht="12.95" customHeight="1" thickTop="1" x14ac:dyDescent="0.2">
      <c r="B63" s="131"/>
      <c r="C63" s="132"/>
      <c r="D63" s="133"/>
      <c r="E63" s="132"/>
      <c r="F63" s="132"/>
      <c r="G63" s="95"/>
      <c r="H63" s="95"/>
    </row>
    <row r="64" spans="1:25" ht="12.95" customHeight="1" thickBot="1" x14ac:dyDescent="0.25">
      <c r="B64" s="148" t="s">
        <v>371</v>
      </c>
      <c r="C64" s="132"/>
      <c r="D64" s="133"/>
      <c r="E64" s="132"/>
      <c r="F64" s="132"/>
      <c r="G64" s="95"/>
      <c r="H64" s="95"/>
    </row>
    <row r="65" spans="1:9" ht="12.95" customHeight="1" thickTop="1" x14ac:dyDescent="0.2">
      <c r="A65" s="134"/>
      <c r="B65" s="149" t="s">
        <v>372</v>
      </c>
      <c r="C65" s="137">
        <v>100</v>
      </c>
      <c r="D65" s="93" t="s">
        <v>278</v>
      </c>
      <c r="E65" s="137">
        <f>F14</f>
        <v>395</v>
      </c>
      <c r="F65" s="150">
        <f>ROUND(E65*C65,2)</f>
        <v>39500</v>
      </c>
      <c r="G65" s="95"/>
      <c r="H65" s="95"/>
    </row>
    <row r="66" spans="1:9" ht="12.95" customHeight="1" x14ac:dyDescent="0.2">
      <c r="A66" s="126"/>
      <c r="B66" s="105" t="s">
        <v>373</v>
      </c>
      <c r="C66" s="140">
        <v>1.75</v>
      </c>
      <c r="D66" s="99" t="s">
        <v>374</v>
      </c>
      <c r="E66" s="140">
        <f>((F42*3)/8)</f>
        <v>247.125</v>
      </c>
      <c r="F66" s="123">
        <f>ROUND(E66*C66,2)</f>
        <v>432.47</v>
      </c>
      <c r="G66" s="95"/>
      <c r="H66" s="95"/>
    </row>
    <row r="67" spans="1:9" ht="12.95" customHeight="1" x14ac:dyDescent="0.2">
      <c r="A67" s="126"/>
      <c r="B67" s="105" t="s">
        <v>375</v>
      </c>
      <c r="C67" s="140">
        <f>5*C45</f>
        <v>5</v>
      </c>
      <c r="D67" s="99" t="s">
        <v>376</v>
      </c>
      <c r="E67" s="140">
        <f>E51</f>
        <v>24.76</v>
      </c>
      <c r="F67" s="123">
        <f>ROUND(E67*C67,2)</f>
        <v>123.8</v>
      </c>
      <c r="G67" s="95"/>
      <c r="H67" s="95"/>
    </row>
    <row r="68" spans="1:9" ht="12.95" customHeight="1" thickBot="1" x14ac:dyDescent="0.25">
      <c r="A68" s="142"/>
      <c r="B68" s="151"/>
      <c r="C68" s="146"/>
      <c r="D68" s="145"/>
      <c r="E68" s="152" t="s">
        <v>377</v>
      </c>
      <c r="F68" s="153">
        <f>SUM(F65:F67)/C65</f>
        <v>400.56270000000006</v>
      </c>
      <c r="G68" s="95"/>
      <c r="H68" s="95"/>
    </row>
    <row r="69" spans="1:9" ht="12.95" customHeight="1" thickTop="1" x14ac:dyDescent="0.2">
      <c r="B69" s="131"/>
      <c r="C69" s="132"/>
      <c r="D69" s="133"/>
      <c r="E69" s="132"/>
      <c r="F69" s="132"/>
      <c r="G69" s="95"/>
      <c r="H69" s="95"/>
    </row>
    <row r="70" spans="1:9" ht="12.95" customHeight="1" thickBot="1" x14ac:dyDescent="0.25">
      <c r="B70" s="148" t="s">
        <v>378</v>
      </c>
      <c r="C70" s="132"/>
      <c r="D70" s="133"/>
      <c r="E70" s="132"/>
      <c r="F70" s="132"/>
      <c r="G70" s="95"/>
      <c r="H70" s="95"/>
    </row>
    <row r="71" spans="1:9" ht="12.95" customHeight="1" thickTop="1" x14ac:dyDescent="0.2">
      <c r="A71" s="134"/>
      <c r="B71" s="149" t="s">
        <v>372</v>
      </c>
      <c r="C71" s="137">
        <v>90</v>
      </c>
      <c r="D71" s="93" t="s">
        <v>297</v>
      </c>
      <c r="E71" s="137">
        <f>F20</f>
        <v>2800</v>
      </c>
      <c r="F71" s="150">
        <f>ROUND(E71*C71,2)</f>
        <v>252000</v>
      </c>
      <c r="G71" s="95"/>
      <c r="H71" s="95"/>
    </row>
    <row r="72" spans="1:9" ht="12.95" customHeight="1" x14ac:dyDescent="0.2">
      <c r="A72" s="126"/>
      <c r="B72" s="105" t="s">
        <v>373</v>
      </c>
      <c r="C72" s="140">
        <v>0.83</v>
      </c>
      <c r="D72" s="99" t="s">
        <v>374</v>
      </c>
      <c r="E72" s="140">
        <f>((F42*3)/8)</f>
        <v>247.125</v>
      </c>
      <c r="F72" s="123">
        <f>ROUND(E72*C72,2)</f>
        <v>205.11</v>
      </c>
      <c r="G72" s="95"/>
      <c r="H72" s="95"/>
    </row>
    <row r="73" spans="1:9" ht="12.95" customHeight="1" x14ac:dyDescent="0.2">
      <c r="A73" s="126"/>
      <c r="B73" s="105" t="s">
        <v>375</v>
      </c>
      <c r="C73" s="140">
        <f>5*C45</f>
        <v>5</v>
      </c>
      <c r="D73" s="99" t="s">
        <v>376</v>
      </c>
      <c r="E73" s="140">
        <f>E51</f>
        <v>24.76</v>
      </c>
      <c r="F73" s="123">
        <f>ROUND(E73*C73,2)</f>
        <v>123.8</v>
      </c>
      <c r="G73" s="95"/>
      <c r="H73" s="95"/>
    </row>
    <row r="74" spans="1:9" ht="12.95" customHeight="1" thickBot="1" x14ac:dyDescent="0.25">
      <c r="A74" s="142"/>
      <c r="B74" s="151"/>
      <c r="C74" s="146"/>
      <c r="D74" s="145"/>
      <c r="E74" s="152" t="s">
        <v>379</v>
      </c>
      <c r="F74" s="153">
        <f>SUM(F71:F73)/C71</f>
        <v>2803.6545555555554</v>
      </c>
      <c r="G74" s="95"/>
      <c r="H74" s="95"/>
    </row>
    <row r="75" spans="1:9" ht="12.95" customHeight="1" thickTop="1" x14ac:dyDescent="0.2">
      <c r="B75" s="131"/>
      <c r="C75" s="132"/>
      <c r="D75" s="133"/>
      <c r="E75" s="132"/>
      <c r="F75" s="132"/>
      <c r="G75" s="95"/>
      <c r="H75" s="95"/>
    </row>
    <row r="76" spans="1:9" ht="12.95" customHeight="1" thickBot="1" x14ac:dyDescent="0.25">
      <c r="B76" s="148" t="s">
        <v>380</v>
      </c>
      <c r="C76" s="132"/>
      <c r="D76" s="133"/>
      <c r="E76" s="132"/>
      <c r="F76" s="132"/>
      <c r="G76" s="95"/>
      <c r="H76" s="95"/>
    </row>
    <row r="77" spans="1:9" ht="12.95" customHeight="1" thickTop="1" x14ac:dyDescent="0.2">
      <c r="A77" s="134"/>
      <c r="B77" s="149" t="s">
        <v>372</v>
      </c>
      <c r="C77" s="137">
        <v>600</v>
      </c>
      <c r="D77" s="93" t="s">
        <v>263</v>
      </c>
      <c r="E77" s="137">
        <f>F24</f>
        <v>29.88</v>
      </c>
      <c r="F77" s="150">
        <f>ROUND(E77*C77,2)</f>
        <v>17928</v>
      </c>
      <c r="G77" s="95"/>
      <c r="H77" s="95"/>
    </row>
    <row r="78" spans="1:9" ht="12.95" customHeight="1" x14ac:dyDescent="0.2">
      <c r="A78" s="126"/>
      <c r="B78" s="105" t="s">
        <v>373</v>
      </c>
      <c r="C78" s="140">
        <v>1.98</v>
      </c>
      <c r="D78" s="99" t="s">
        <v>374</v>
      </c>
      <c r="E78" s="140">
        <f>((F42*3)/8)</f>
        <v>247.125</v>
      </c>
      <c r="F78" s="123">
        <f>ROUND(E78*C78,2)</f>
        <v>489.31</v>
      </c>
      <c r="G78" s="95"/>
      <c r="H78" s="95"/>
    </row>
    <row r="79" spans="1:9" ht="12.95" customHeight="1" x14ac:dyDescent="0.2">
      <c r="A79" s="126"/>
      <c r="B79" s="105" t="s">
        <v>375</v>
      </c>
      <c r="C79" s="140">
        <f>5*C45</f>
        <v>5</v>
      </c>
      <c r="D79" s="99" t="s">
        <v>376</v>
      </c>
      <c r="E79" s="140">
        <f>E51</f>
        <v>24.76</v>
      </c>
      <c r="F79" s="123">
        <f>ROUND(E79*C79,2)</f>
        <v>123.8</v>
      </c>
      <c r="G79" s="95"/>
      <c r="H79" s="95"/>
      <c r="I79" s="66">
        <v>0.63</v>
      </c>
    </row>
    <row r="80" spans="1:9" ht="12.95" customHeight="1" thickBot="1" x14ac:dyDescent="0.25">
      <c r="A80" s="142"/>
      <c r="B80" s="151"/>
      <c r="C80" s="146"/>
      <c r="D80" s="145"/>
      <c r="E80" s="152" t="s">
        <v>379</v>
      </c>
      <c r="F80" s="153">
        <f>SUM(F77:F79)/C77</f>
        <v>30.90185</v>
      </c>
      <c r="G80" s="95"/>
      <c r="H80" s="95"/>
      <c r="I80" s="66">
        <v>0.42</v>
      </c>
    </row>
    <row r="81" spans="1:9" ht="12.95" customHeight="1" thickTop="1" x14ac:dyDescent="0.2">
      <c r="B81" s="131"/>
      <c r="C81" s="132"/>
      <c r="D81" s="133"/>
      <c r="E81" s="132"/>
      <c r="F81" s="132"/>
      <c r="G81" s="95"/>
      <c r="H81" s="95"/>
      <c r="I81" s="66">
        <f>SUM(I79:I80)</f>
        <v>1.05</v>
      </c>
    </row>
    <row r="82" spans="1:9" ht="12.95" customHeight="1" thickBot="1" x14ac:dyDescent="0.25">
      <c r="B82" s="148" t="s">
        <v>381</v>
      </c>
      <c r="C82" s="132"/>
      <c r="D82" s="133"/>
      <c r="E82" s="132"/>
      <c r="F82" s="132"/>
      <c r="G82" s="95"/>
      <c r="H82" s="95"/>
    </row>
    <row r="83" spans="1:9" ht="12.95" customHeight="1" thickTop="1" x14ac:dyDescent="0.2">
      <c r="A83" s="134"/>
      <c r="B83" s="149" t="s">
        <v>372</v>
      </c>
      <c r="C83" s="137">
        <v>400</v>
      </c>
      <c r="D83" s="93" t="s">
        <v>263</v>
      </c>
      <c r="E83" s="137">
        <f>F25</f>
        <v>36</v>
      </c>
      <c r="F83" s="150">
        <f>ROUND(E83*C83,2)</f>
        <v>14400</v>
      </c>
      <c r="G83" s="95"/>
      <c r="H83" s="95"/>
    </row>
    <row r="84" spans="1:9" ht="12.95" customHeight="1" x14ac:dyDescent="0.2">
      <c r="A84" s="126"/>
      <c r="B84" s="105" t="s">
        <v>373</v>
      </c>
      <c r="C84" s="140">
        <v>1.39</v>
      </c>
      <c r="D84" s="99" t="s">
        <v>374</v>
      </c>
      <c r="E84" s="140">
        <f>((F42*3)/8)</f>
        <v>247.125</v>
      </c>
      <c r="F84" s="123">
        <f>ROUND(E84*C84,2)</f>
        <v>343.5</v>
      </c>
      <c r="G84" s="95"/>
      <c r="H84" s="95"/>
    </row>
    <row r="85" spans="1:9" ht="12.95" customHeight="1" x14ac:dyDescent="0.2">
      <c r="A85" s="126"/>
      <c r="B85" s="105" t="s">
        <v>375</v>
      </c>
      <c r="C85" s="140">
        <f>5*C45</f>
        <v>5</v>
      </c>
      <c r="D85" s="99" t="s">
        <v>376</v>
      </c>
      <c r="E85" s="140">
        <f>E51</f>
        <v>24.76</v>
      </c>
      <c r="F85" s="123">
        <f>ROUND(E85*C85,2)</f>
        <v>123.8</v>
      </c>
      <c r="G85" s="95"/>
      <c r="H85" s="95"/>
    </row>
    <row r="86" spans="1:9" ht="12.95" customHeight="1" thickBot="1" x14ac:dyDescent="0.25">
      <c r="A86" s="142"/>
      <c r="B86" s="151"/>
      <c r="C86" s="146"/>
      <c r="D86" s="145"/>
      <c r="E86" s="152" t="s">
        <v>379</v>
      </c>
      <c r="F86" s="153">
        <f>SUM(F83:F85)/C83</f>
        <v>37.16825</v>
      </c>
      <c r="G86" s="95"/>
      <c r="H86" s="95"/>
    </row>
    <row r="87" spans="1:9" ht="12.95" customHeight="1" thickTop="1" x14ac:dyDescent="0.2">
      <c r="B87" s="131"/>
      <c r="C87" s="132"/>
      <c r="D87" s="133"/>
      <c r="E87" s="132"/>
      <c r="F87" s="132"/>
      <c r="G87" s="95"/>
      <c r="H87" s="95"/>
    </row>
    <row r="88" spans="1:9" ht="12.95" customHeight="1" thickBot="1" x14ac:dyDescent="0.25">
      <c r="B88" s="148" t="s">
        <v>382</v>
      </c>
      <c r="C88" s="132"/>
      <c r="D88" s="133"/>
      <c r="E88" s="132"/>
      <c r="F88" s="132"/>
      <c r="G88" s="95"/>
      <c r="H88" s="95"/>
    </row>
    <row r="89" spans="1:9" ht="12.95" customHeight="1" thickTop="1" x14ac:dyDescent="0.2">
      <c r="A89" s="134"/>
      <c r="B89" s="149" t="s">
        <v>372</v>
      </c>
      <c r="C89" s="137">
        <v>300</v>
      </c>
      <c r="D89" s="93" t="s">
        <v>263</v>
      </c>
      <c r="E89" s="137">
        <f>F26</f>
        <v>39.979999999999997</v>
      </c>
      <c r="F89" s="150">
        <f>ROUND(E89*C89,2)</f>
        <v>11994</v>
      </c>
      <c r="G89" s="95"/>
      <c r="H89" s="95"/>
    </row>
    <row r="90" spans="1:9" ht="12.95" customHeight="1" x14ac:dyDescent="0.2">
      <c r="A90" s="126"/>
      <c r="B90" s="105" t="s">
        <v>373</v>
      </c>
      <c r="C90" s="140">
        <v>1.05</v>
      </c>
      <c r="D90" s="99" t="s">
        <v>374</v>
      </c>
      <c r="E90" s="140">
        <f>((F42*3)/8)</f>
        <v>247.125</v>
      </c>
      <c r="F90" s="123">
        <f>ROUND(E90*C90,2)</f>
        <v>259.48</v>
      </c>
      <c r="G90" s="95"/>
      <c r="H90" s="95"/>
    </row>
    <row r="91" spans="1:9" ht="12.95" customHeight="1" x14ac:dyDescent="0.2">
      <c r="A91" s="126"/>
      <c r="B91" s="105" t="s">
        <v>375</v>
      </c>
      <c r="C91" s="140">
        <f>5*C45</f>
        <v>5</v>
      </c>
      <c r="D91" s="99" t="s">
        <v>376</v>
      </c>
      <c r="E91" s="140">
        <f>E51</f>
        <v>24.76</v>
      </c>
      <c r="F91" s="123">
        <f>ROUND(E91*C91,2)</f>
        <v>123.8</v>
      </c>
      <c r="G91" s="95"/>
      <c r="H91" s="95"/>
    </row>
    <row r="92" spans="1:9" ht="12.95" customHeight="1" thickBot="1" x14ac:dyDescent="0.25">
      <c r="A92" s="142"/>
      <c r="B92" s="151"/>
      <c r="C92" s="146"/>
      <c r="D92" s="145"/>
      <c r="E92" s="152" t="s">
        <v>379</v>
      </c>
      <c r="F92" s="153">
        <f>SUM(F89:F91)/C89</f>
        <v>41.257599999999996</v>
      </c>
      <c r="G92" s="95"/>
      <c r="H92" s="95"/>
    </row>
    <row r="93" spans="1:9" ht="12.95" customHeight="1" thickTop="1" x14ac:dyDescent="0.2">
      <c r="B93" s="131"/>
      <c r="C93" s="132"/>
      <c r="D93" s="133"/>
      <c r="E93" s="132"/>
      <c r="F93" s="132"/>
      <c r="G93" s="95"/>
      <c r="H93" s="95"/>
    </row>
    <row r="94" spans="1:9" ht="12.95" customHeight="1" x14ac:dyDescent="0.2">
      <c r="B94" s="131"/>
      <c r="C94" s="132"/>
      <c r="D94" s="133"/>
      <c r="E94" s="132"/>
      <c r="F94" s="132"/>
      <c r="G94" s="95"/>
      <c r="H94" s="95"/>
    </row>
    <row r="95" spans="1:9" ht="13.5" customHeight="1" x14ac:dyDescent="0.25">
      <c r="A95" s="154" t="s">
        <v>85</v>
      </c>
      <c r="B95" s="1722" t="s">
        <v>383</v>
      </c>
      <c r="C95" s="1722"/>
      <c r="D95" s="1722"/>
      <c r="E95" s="1722"/>
      <c r="F95" s="1722"/>
      <c r="G95" s="95"/>
      <c r="H95" s="95"/>
    </row>
    <row r="96" spans="1:9" ht="12.95" customHeight="1" thickBot="1" x14ac:dyDescent="0.25">
      <c r="A96" s="155" t="s">
        <v>384</v>
      </c>
      <c r="B96" s="156" t="s">
        <v>385</v>
      </c>
      <c r="C96" s="157"/>
      <c r="D96" s="158"/>
      <c r="E96" s="157"/>
      <c r="F96" s="157"/>
    </row>
    <row r="97" spans="1:18" ht="12.95" customHeight="1" thickTop="1" x14ac:dyDescent="0.2">
      <c r="A97" s="159" t="s">
        <v>386</v>
      </c>
      <c r="B97" s="160" t="s">
        <v>387</v>
      </c>
      <c r="C97" s="92">
        <v>1</v>
      </c>
      <c r="D97" s="161" t="s">
        <v>88</v>
      </c>
      <c r="E97" s="92">
        <f>E17</f>
        <v>1200</v>
      </c>
      <c r="F97" s="94">
        <f>ROUND(C97*E97,2)</f>
        <v>1200</v>
      </c>
      <c r="G97" s="95"/>
    </row>
    <row r="98" spans="1:18" ht="12.95" customHeight="1" x14ac:dyDescent="0.2">
      <c r="A98" s="96" t="s">
        <v>388</v>
      </c>
      <c r="B98" s="162" t="s">
        <v>389</v>
      </c>
      <c r="C98" s="98">
        <v>1</v>
      </c>
      <c r="D98" s="163" t="s">
        <v>88</v>
      </c>
      <c r="E98" s="98">
        <v>12</v>
      </c>
      <c r="F98" s="100">
        <f>ROUND(C98*E98,2)</f>
        <v>12</v>
      </c>
      <c r="G98" s="95"/>
    </row>
    <row r="99" spans="1:18" s="170" customFormat="1" ht="12.95" customHeight="1" x14ac:dyDescent="0.2">
      <c r="A99" s="96" t="s">
        <v>390</v>
      </c>
      <c r="B99" s="164" t="s">
        <v>375</v>
      </c>
      <c r="C99" s="165">
        <f>C45</f>
        <v>1</v>
      </c>
      <c r="D99" s="166" t="s">
        <v>354</v>
      </c>
      <c r="E99" s="167">
        <f>E51</f>
        <v>24.76</v>
      </c>
      <c r="F99" s="100">
        <f>ROUND(C99*E99,2)</f>
        <v>24.76</v>
      </c>
      <c r="G99" s="168"/>
      <c r="H99" s="168"/>
      <c r="I99" s="168"/>
      <c r="J99" s="169"/>
      <c r="K99" s="169"/>
      <c r="L99" s="169"/>
      <c r="M99" s="169"/>
      <c r="N99" s="169"/>
      <c r="O99" s="169"/>
      <c r="P99" s="169"/>
      <c r="Q99" s="169"/>
      <c r="R99" s="169"/>
    </row>
    <row r="100" spans="1:18" ht="12.95" customHeight="1" thickBot="1" x14ac:dyDescent="0.25">
      <c r="A100" s="171"/>
      <c r="B100" s="172"/>
      <c r="C100" s="173"/>
      <c r="D100" s="174"/>
      <c r="E100" s="152" t="s">
        <v>391</v>
      </c>
      <c r="F100" s="175">
        <f>SUM(F97:F99)</f>
        <v>1236.76</v>
      </c>
      <c r="G100" s="176"/>
    </row>
    <row r="101" spans="1:18" ht="12.95" customHeight="1" thickTop="1" x14ac:dyDescent="0.2">
      <c r="A101" s="87"/>
      <c r="B101" s="87"/>
    </row>
    <row r="102" spans="1:18" ht="12.95" customHeight="1" thickBot="1" x14ac:dyDescent="0.25">
      <c r="A102" s="155" t="s">
        <v>392</v>
      </c>
      <c r="B102" s="178" t="s">
        <v>393</v>
      </c>
    </row>
    <row r="103" spans="1:18" ht="12.95" customHeight="1" thickTop="1" x14ac:dyDescent="0.2">
      <c r="A103" s="159" t="s">
        <v>394</v>
      </c>
      <c r="B103" s="179" t="s">
        <v>387</v>
      </c>
      <c r="C103" s="180">
        <v>1</v>
      </c>
      <c r="D103" s="181" t="s">
        <v>88</v>
      </c>
      <c r="E103" s="180">
        <f>E18</f>
        <v>1300</v>
      </c>
      <c r="F103" s="94">
        <f>ROUND(C103*E103,2)</f>
        <v>1300</v>
      </c>
      <c r="G103" s="95"/>
    </row>
    <row r="104" spans="1:18" ht="12.95" customHeight="1" x14ac:dyDescent="0.2">
      <c r="A104" s="96" t="s">
        <v>395</v>
      </c>
      <c r="B104" s="162" t="s">
        <v>389</v>
      </c>
      <c r="C104" s="98">
        <v>1</v>
      </c>
      <c r="D104" s="163" t="s">
        <v>88</v>
      </c>
      <c r="E104" s="98">
        <v>12</v>
      </c>
      <c r="F104" s="100">
        <f>ROUND(C104*E104,2)</f>
        <v>12</v>
      </c>
      <c r="G104" s="95"/>
    </row>
    <row r="105" spans="1:18" s="170" customFormat="1" ht="12.95" customHeight="1" x14ac:dyDescent="0.2">
      <c r="A105" s="96" t="s">
        <v>396</v>
      </c>
      <c r="B105" s="164" t="s">
        <v>375</v>
      </c>
      <c r="C105" s="165">
        <f>C45</f>
        <v>1</v>
      </c>
      <c r="D105" s="166" t="s">
        <v>354</v>
      </c>
      <c r="E105" s="167">
        <f>E51</f>
        <v>24.76</v>
      </c>
      <c r="F105" s="100">
        <f>ROUND(C105*E105,2)</f>
        <v>24.76</v>
      </c>
      <c r="G105" s="168"/>
      <c r="H105" s="168"/>
      <c r="I105" s="168"/>
      <c r="J105" s="169"/>
      <c r="K105" s="169"/>
      <c r="L105" s="169"/>
      <c r="M105" s="169"/>
      <c r="N105" s="169"/>
      <c r="O105" s="169"/>
      <c r="P105" s="169"/>
      <c r="Q105" s="169"/>
      <c r="R105" s="169"/>
    </row>
    <row r="106" spans="1:18" ht="12.95" customHeight="1" thickBot="1" x14ac:dyDescent="0.25">
      <c r="A106" s="142"/>
      <c r="B106" s="182"/>
      <c r="C106" s="146"/>
      <c r="D106" s="174"/>
      <c r="E106" s="152" t="s">
        <v>397</v>
      </c>
      <c r="F106" s="175">
        <f>SUM(F103:F105)</f>
        <v>1336.76</v>
      </c>
      <c r="G106" s="176"/>
    </row>
    <row r="107" spans="1:18" ht="12.95" customHeight="1" thickTop="1" x14ac:dyDescent="0.2">
      <c r="A107" s="87"/>
      <c r="B107" s="87"/>
      <c r="C107" s="183"/>
      <c r="D107" s="184"/>
      <c r="E107" s="132"/>
      <c r="F107" s="185"/>
      <c r="G107" s="186"/>
    </row>
    <row r="108" spans="1:18" ht="12.95" customHeight="1" thickBot="1" x14ac:dyDescent="0.25">
      <c r="A108" s="155" t="s">
        <v>398</v>
      </c>
      <c r="B108" s="187" t="s">
        <v>399</v>
      </c>
      <c r="G108" s="186"/>
    </row>
    <row r="109" spans="1:18" ht="12.95" customHeight="1" thickTop="1" x14ac:dyDescent="0.2">
      <c r="A109" s="159" t="s">
        <v>400</v>
      </c>
      <c r="B109" s="160" t="s">
        <v>401</v>
      </c>
      <c r="C109" s="92">
        <v>1</v>
      </c>
      <c r="D109" s="161" t="s">
        <v>88</v>
      </c>
      <c r="E109" s="92">
        <f>F19</f>
        <v>1300</v>
      </c>
      <c r="F109" s="94">
        <f>ROUND(C109*E109,2)</f>
        <v>1300</v>
      </c>
      <c r="G109" s="186"/>
    </row>
    <row r="110" spans="1:18" ht="12.95" customHeight="1" x14ac:dyDescent="0.2">
      <c r="A110" s="96" t="s">
        <v>402</v>
      </c>
      <c r="B110" s="162" t="s">
        <v>389</v>
      </c>
      <c r="C110" s="98">
        <v>1</v>
      </c>
      <c r="D110" s="163" t="s">
        <v>88</v>
      </c>
      <c r="E110" s="98">
        <v>12</v>
      </c>
      <c r="F110" s="100">
        <f>ROUND(C110*E110,2)</f>
        <v>12</v>
      </c>
      <c r="G110" s="186"/>
    </row>
    <row r="111" spans="1:18" ht="12.95" customHeight="1" x14ac:dyDescent="0.2">
      <c r="A111" s="96" t="s">
        <v>403</v>
      </c>
      <c r="B111" s="164" t="s">
        <v>375</v>
      </c>
      <c r="C111" s="165">
        <f>C45</f>
        <v>1</v>
      </c>
      <c r="D111" s="166" t="s">
        <v>354</v>
      </c>
      <c r="E111" s="167">
        <f>E51</f>
        <v>24.76</v>
      </c>
      <c r="F111" s="100">
        <f>ROUND(C111*E111,2)</f>
        <v>24.76</v>
      </c>
      <c r="G111" s="186"/>
    </row>
    <row r="112" spans="1:18" ht="12.95" customHeight="1" thickBot="1" x14ac:dyDescent="0.25">
      <c r="A112" s="142"/>
      <c r="B112" s="182"/>
      <c r="C112" s="146"/>
      <c r="D112" s="188"/>
      <c r="E112" s="152" t="s">
        <v>397</v>
      </c>
      <c r="F112" s="175">
        <f>SUM(F109:F111)</f>
        <v>1336.76</v>
      </c>
      <c r="G112" s="186"/>
    </row>
    <row r="113" spans="1:8" ht="12.95" customHeight="1" thickTop="1" x14ac:dyDescent="0.2">
      <c r="A113" s="87"/>
      <c r="B113" s="87"/>
      <c r="C113" s="183"/>
      <c r="D113" s="184"/>
      <c r="E113" s="132"/>
      <c r="F113" s="185"/>
      <c r="G113" s="186"/>
    </row>
    <row r="114" spans="1:8" ht="12.95" customHeight="1" thickBot="1" x14ac:dyDescent="0.25">
      <c r="A114" s="155" t="s">
        <v>404</v>
      </c>
      <c r="B114" s="187" t="s">
        <v>405</v>
      </c>
      <c r="C114" s="183"/>
      <c r="D114" s="184"/>
      <c r="E114" s="132"/>
      <c r="F114" s="185"/>
      <c r="G114" s="186"/>
    </row>
    <row r="115" spans="1:8" ht="12.95" customHeight="1" thickTop="1" x14ac:dyDescent="0.2">
      <c r="A115" s="159" t="s">
        <v>406</v>
      </c>
      <c r="B115" s="160" t="s">
        <v>407</v>
      </c>
      <c r="C115" s="189">
        <v>1</v>
      </c>
      <c r="D115" s="161" t="s">
        <v>124</v>
      </c>
      <c r="E115" s="92">
        <f>(F103+F105)*0.05</f>
        <v>66.238</v>
      </c>
      <c r="F115" s="94">
        <f>ROUND(C115*E115,2)</f>
        <v>66.239999999999995</v>
      </c>
      <c r="G115" s="186"/>
    </row>
    <row r="116" spans="1:8" ht="12.95" customHeight="1" x14ac:dyDescent="0.2">
      <c r="A116" s="96" t="s">
        <v>408</v>
      </c>
      <c r="B116" s="162" t="s">
        <v>409</v>
      </c>
      <c r="C116" s="190">
        <v>1</v>
      </c>
      <c r="D116" s="163" t="s">
        <v>124</v>
      </c>
      <c r="E116" s="98">
        <f>((F42*2*1.03)/7.5)*0.05</f>
        <v>9.0502666666666673</v>
      </c>
      <c r="F116" s="100">
        <f>ROUND(C116*E116,2)</f>
        <v>9.0500000000000007</v>
      </c>
      <c r="G116" s="186"/>
    </row>
    <row r="117" spans="1:8" ht="12.95" customHeight="1" thickBot="1" x14ac:dyDescent="0.25">
      <c r="A117" s="142"/>
      <c r="B117" s="182"/>
      <c r="C117" s="191"/>
      <c r="D117" s="174"/>
      <c r="E117" s="152" t="s">
        <v>410</v>
      </c>
      <c r="F117" s="175">
        <f>SUM(F115:F116)</f>
        <v>75.289999999999992</v>
      </c>
      <c r="G117" s="186"/>
    </row>
    <row r="118" spans="1:8" ht="12.95" customHeight="1" thickTop="1" x14ac:dyDescent="0.2">
      <c r="A118" s="87"/>
      <c r="B118" s="87"/>
      <c r="C118" s="192"/>
      <c r="D118" s="193"/>
      <c r="E118" s="194"/>
      <c r="F118" s="195"/>
      <c r="G118" s="186"/>
    </row>
    <row r="119" spans="1:8" ht="12.95" customHeight="1" thickBot="1" x14ac:dyDescent="0.25">
      <c r="A119" s="155" t="s">
        <v>411</v>
      </c>
      <c r="B119" s="196" t="s">
        <v>412</v>
      </c>
      <c r="C119" s="183"/>
      <c r="D119" s="184"/>
      <c r="E119" s="132"/>
      <c r="F119" s="185"/>
      <c r="G119" s="186"/>
    </row>
    <row r="120" spans="1:8" ht="12.95" customHeight="1" thickTop="1" x14ac:dyDescent="0.2">
      <c r="A120" s="159" t="s">
        <v>413</v>
      </c>
      <c r="B120" s="197" t="s">
        <v>414</v>
      </c>
      <c r="C120" s="189">
        <v>1</v>
      </c>
      <c r="D120" s="161" t="s">
        <v>88</v>
      </c>
      <c r="E120" s="137">
        <f>(F100-F98)</f>
        <v>1224.76</v>
      </c>
      <c r="F120" s="94">
        <f>ROUND(C120*E120,2)</f>
        <v>1224.76</v>
      </c>
      <c r="G120" s="186"/>
    </row>
    <row r="121" spans="1:8" ht="12.95" customHeight="1" x14ac:dyDescent="0.2">
      <c r="A121" s="96" t="s">
        <v>415</v>
      </c>
      <c r="B121" s="198" t="s">
        <v>416</v>
      </c>
      <c r="C121" s="190">
        <v>3</v>
      </c>
      <c r="D121" s="163" t="s">
        <v>8</v>
      </c>
      <c r="E121" s="140">
        <f>F42</f>
        <v>659</v>
      </c>
      <c r="F121" s="100">
        <f>ROUND(C121*E121,2)</f>
        <v>1977</v>
      </c>
      <c r="G121" s="186"/>
    </row>
    <row r="122" spans="1:8" ht="12.95" customHeight="1" x14ac:dyDescent="0.2">
      <c r="A122" s="96" t="s">
        <v>417</v>
      </c>
      <c r="B122" s="198" t="s">
        <v>418</v>
      </c>
      <c r="C122" s="190">
        <v>3</v>
      </c>
      <c r="D122" s="163" t="s">
        <v>234</v>
      </c>
      <c r="E122" s="140">
        <f>F121</f>
        <v>1977</v>
      </c>
      <c r="F122" s="100">
        <f>ROUND(C122*E122,2)/100</f>
        <v>59.31</v>
      </c>
      <c r="G122" s="186"/>
    </row>
    <row r="123" spans="1:8" ht="12.95" customHeight="1" x14ac:dyDescent="0.2">
      <c r="A123" s="96" t="s">
        <v>419</v>
      </c>
      <c r="B123" s="105" t="s">
        <v>420</v>
      </c>
      <c r="C123" s="190">
        <f>6*C121</f>
        <v>18</v>
      </c>
      <c r="D123" s="163" t="s">
        <v>421</v>
      </c>
      <c r="E123" s="199"/>
      <c r="F123" s="200">
        <f>SUM(F121:F122)</f>
        <v>2036.31</v>
      </c>
      <c r="G123" s="186"/>
    </row>
    <row r="124" spans="1:8" ht="12.95" customHeight="1" x14ac:dyDescent="0.2">
      <c r="A124" s="96" t="s">
        <v>422</v>
      </c>
      <c r="B124" s="105" t="s">
        <v>423</v>
      </c>
      <c r="C124" s="201"/>
      <c r="D124" s="163"/>
      <c r="E124" s="199" t="s">
        <v>424</v>
      </c>
      <c r="F124" s="200">
        <f>F123/C123</f>
        <v>113.12833333333333</v>
      </c>
      <c r="G124" s="186"/>
    </row>
    <row r="125" spans="1:8" ht="12.95" customHeight="1" thickBot="1" x14ac:dyDescent="0.25">
      <c r="A125" s="142"/>
      <c r="B125" s="202" t="s">
        <v>412</v>
      </c>
      <c r="C125" s="191"/>
      <c r="D125" s="174"/>
      <c r="E125" s="203" t="s">
        <v>424</v>
      </c>
      <c r="F125" s="204">
        <f>F120+F124</f>
        <v>1337.8883333333333</v>
      </c>
      <c r="G125" s="186"/>
    </row>
    <row r="126" spans="1:8" ht="12.95" customHeight="1" thickTop="1" x14ac:dyDescent="0.2">
      <c r="A126" s="205"/>
      <c r="B126" s="205"/>
      <c r="C126" s="206"/>
      <c r="D126" s="207"/>
      <c r="E126" s="208"/>
      <c r="F126" s="209"/>
      <c r="G126" s="186"/>
    </row>
    <row r="127" spans="1:8" ht="12.95" customHeight="1" thickBot="1" x14ac:dyDescent="0.25">
      <c r="A127" s="210" t="s">
        <v>425</v>
      </c>
      <c r="B127" s="211" t="s">
        <v>426</v>
      </c>
      <c r="C127" s="206"/>
      <c r="D127" s="207"/>
      <c r="E127" s="208"/>
      <c r="F127" s="209"/>
      <c r="G127" s="186"/>
    </row>
    <row r="128" spans="1:8" ht="12.95" customHeight="1" thickTop="1" x14ac:dyDescent="0.2">
      <c r="A128" s="212" t="s">
        <v>427</v>
      </c>
      <c r="B128" s="213" t="s">
        <v>428</v>
      </c>
      <c r="C128" s="214">
        <v>5</v>
      </c>
      <c r="D128" s="215" t="s">
        <v>374</v>
      </c>
      <c r="E128" s="216">
        <v>500</v>
      </c>
      <c r="F128" s="94">
        <f t="shared" ref="F128:F133" si="1">ROUND(C128*E128,2)</f>
        <v>2500</v>
      </c>
      <c r="G128" s="186"/>
      <c r="H128" s="66">
        <f>8*500</f>
        <v>4000</v>
      </c>
    </row>
    <row r="129" spans="1:12" ht="12.95" customHeight="1" x14ac:dyDescent="0.2">
      <c r="A129" s="217" t="s">
        <v>429</v>
      </c>
      <c r="B129" s="218" t="str">
        <f>"MAESTRO @ "&amp;FIXED(F36)&amp;"/DIA"</f>
        <v>MAESTRO @ 1,977.00/DIA</v>
      </c>
      <c r="C129" s="219">
        <v>5</v>
      </c>
      <c r="D129" s="220" t="s">
        <v>374</v>
      </c>
      <c r="E129" s="221">
        <f>F36/8</f>
        <v>247.125</v>
      </c>
      <c r="F129" s="100">
        <f t="shared" si="1"/>
        <v>1235.6300000000001</v>
      </c>
      <c r="G129" s="186"/>
      <c r="J129" s="67">
        <v>8</v>
      </c>
      <c r="L129" s="68">
        <v>4</v>
      </c>
    </row>
    <row r="130" spans="1:12" ht="25.5" customHeight="1" x14ac:dyDescent="0.2">
      <c r="A130" s="222" t="s">
        <v>430</v>
      </c>
      <c r="B130" s="223" t="str">
        <f>"CARGADORES DE AGREGADO Y CEMENTO (4U) @ "&amp;F42&amp;"/DIA"</f>
        <v>CARGADORES DE AGREGADO Y CEMENTO (4U) @ 659/DIA</v>
      </c>
      <c r="C130" s="224">
        <v>5</v>
      </c>
      <c r="D130" s="225" t="s">
        <v>374</v>
      </c>
      <c r="E130" s="226">
        <f>(F42/8)*4</f>
        <v>329.5</v>
      </c>
      <c r="F130" s="227">
        <f t="shared" si="1"/>
        <v>1647.5</v>
      </c>
      <c r="G130" s="186"/>
      <c r="J130" s="67">
        <v>650</v>
      </c>
    </row>
    <row r="131" spans="1:12" ht="12.95" customHeight="1" x14ac:dyDescent="0.2">
      <c r="A131" s="217" t="s">
        <v>431</v>
      </c>
      <c r="B131" s="218" t="str">
        <f>"OPERADOR ( 1U ) @ "&amp;FIXED(F39)&amp;"/DIA"</f>
        <v>OPERADOR ( 1U ) @ 1,100.00/DIA</v>
      </c>
      <c r="C131" s="219">
        <v>5</v>
      </c>
      <c r="D131" s="220" t="s">
        <v>374</v>
      </c>
      <c r="E131" s="221">
        <f>F39/8</f>
        <v>137.5</v>
      </c>
      <c r="F131" s="100">
        <f t="shared" si="1"/>
        <v>687.5</v>
      </c>
      <c r="G131" s="186"/>
      <c r="J131" s="67">
        <f>J130/J129</f>
        <v>81.25</v>
      </c>
      <c r="K131" s="68">
        <f>J131*L129</f>
        <v>325</v>
      </c>
    </row>
    <row r="132" spans="1:12" ht="12.95" customHeight="1" x14ac:dyDescent="0.2">
      <c r="A132" s="217" t="s">
        <v>432</v>
      </c>
      <c r="B132" s="218" t="str">
        <f>"TRASPORTE (3 U) @ "&amp;FIXED(F42)&amp;"/DIA"</f>
        <v>TRASPORTE (3 U) @ 659.00/DIA</v>
      </c>
      <c r="C132" s="219">
        <v>5</v>
      </c>
      <c r="D132" s="220" t="s">
        <v>374</v>
      </c>
      <c r="E132" s="221">
        <f>(F42/8)*3</f>
        <v>247.125</v>
      </c>
      <c r="F132" s="100">
        <f t="shared" si="1"/>
        <v>1235.6300000000001</v>
      </c>
      <c r="G132" s="186"/>
    </row>
    <row r="133" spans="1:12" ht="12.95" customHeight="1" x14ac:dyDescent="0.2">
      <c r="A133" s="217" t="s">
        <v>433</v>
      </c>
      <c r="B133" s="218" t="str">
        <f>"EMPAREJADOR DE CONCRETO (1U ) @ "&amp;F42&amp;"/DIA"</f>
        <v>EMPAREJADOR DE CONCRETO (1U ) @ 659/DIA</v>
      </c>
      <c r="C133" s="219">
        <v>5</v>
      </c>
      <c r="D133" s="220" t="s">
        <v>374</v>
      </c>
      <c r="E133" s="221">
        <f>(F42/8)*1</f>
        <v>82.375</v>
      </c>
      <c r="F133" s="100">
        <f t="shared" si="1"/>
        <v>411.88</v>
      </c>
      <c r="G133" s="186"/>
    </row>
    <row r="134" spans="1:12" ht="12.95" customHeight="1" x14ac:dyDescent="0.2">
      <c r="A134" s="228"/>
      <c r="B134" s="229" t="s">
        <v>434</v>
      </c>
      <c r="C134" s="230">
        <v>6</v>
      </c>
      <c r="D134" s="163" t="s">
        <v>435</v>
      </c>
      <c r="E134" s="199"/>
      <c r="F134" s="231">
        <f>SUM(F128:F133)</f>
        <v>7718.14</v>
      </c>
      <c r="G134" s="186"/>
    </row>
    <row r="135" spans="1:12" ht="12.95" customHeight="1" thickBot="1" x14ac:dyDescent="0.25">
      <c r="A135" s="232"/>
      <c r="B135" s="233"/>
      <c r="C135" s="234"/>
      <c r="D135" s="235"/>
      <c r="E135" s="236" t="s">
        <v>424</v>
      </c>
      <c r="F135" s="237">
        <f>F134/C134</f>
        <v>1286.3566666666668</v>
      </c>
      <c r="G135" s="186"/>
    </row>
    <row r="136" spans="1:12" ht="12.95" customHeight="1" thickTop="1" x14ac:dyDescent="0.2">
      <c r="A136" s="205"/>
      <c r="B136" s="205"/>
      <c r="C136" s="206"/>
      <c r="D136" s="207"/>
      <c r="E136" s="208"/>
      <c r="F136" s="209"/>
      <c r="G136" s="186"/>
    </row>
    <row r="137" spans="1:12" ht="12.95" customHeight="1" thickBot="1" x14ac:dyDescent="0.25">
      <c r="A137" s="210" t="s">
        <v>436</v>
      </c>
      <c r="B137" s="211" t="s">
        <v>437</v>
      </c>
      <c r="C137" s="206"/>
      <c r="D137" s="207"/>
      <c r="E137" s="208"/>
      <c r="F137" s="209"/>
      <c r="G137" s="186"/>
    </row>
    <row r="138" spans="1:12" ht="12.95" customHeight="1" thickTop="1" x14ac:dyDescent="0.2">
      <c r="A138" s="212" t="s">
        <v>438</v>
      </c>
      <c r="B138" s="238" t="s">
        <v>439</v>
      </c>
      <c r="C138" s="239">
        <v>14</v>
      </c>
      <c r="D138" s="240" t="s">
        <v>440</v>
      </c>
      <c r="E138" s="241">
        <f>F28</f>
        <v>45</v>
      </c>
      <c r="F138" s="94">
        <f t="shared" ref="F138:F149" si="2">ROUND(C138*E138,2)</f>
        <v>630</v>
      </c>
      <c r="G138" s="186"/>
    </row>
    <row r="139" spans="1:12" ht="12.95" customHeight="1" x14ac:dyDescent="0.2">
      <c r="A139" s="217" t="s">
        <v>441</v>
      </c>
      <c r="B139" s="242" t="s">
        <v>442</v>
      </c>
      <c r="C139" s="243">
        <v>5</v>
      </c>
      <c r="D139" s="225" t="s">
        <v>263</v>
      </c>
      <c r="E139" s="244">
        <f>'[29]LIST. MATER.'!E94/7</f>
        <v>533.92857142857144</v>
      </c>
      <c r="F139" s="100">
        <f t="shared" si="2"/>
        <v>2669.64</v>
      </c>
      <c r="G139" s="186"/>
    </row>
    <row r="140" spans="1:12" ht="12.95" customHeight="1" x14ac:dyDescent="0.2">
      <c r="A140" s="217" t="s">
        <v>443</v>
      </c>
      <c r="B140" s="242" t="s">
        <v>444</v>
      </c>
      <c r="C140" s="243">
        <v>6</v>
      </c>
      <c r="D140" s="225" t="s">
        <v>263</v>
      </c>
      <c r="E140" s="244">
        <f>'[29]LIST. MATER.'!E128/7</f>
        <v>47.25</v>
      </c>
      <c r="F140" s="100">
        <f t="shared" si="2"/>
        <v>283.5</v>
      </c>
      <c r="G140" s="186"/>
    </row>
    <row r="141" spans="1:12" ht="12.95" customHeight="1" x14ac:dyDescent="0.2">
      <c r="A141" s="217" t="s">
        <v>445</v>
      </c>
      <c r="B141" s="242" t="s">
        <v>446</v>
      </c>
      <c r="C141" s="243">
        <v>4</v>
      </c>
      <c r="D141" s="225" t="s">
        <v>263</v>
      </c>
      <c r="E141" s="244">
        <f>'[29]LIST. MATER.'!E138/7</f>
        <v>126.42857142857143</v>
      </c>
      <c r="F141" s="100">
        <f t="shared" si="2"/>
        <v>505.71</v>
      </c>
      <c r="G141" s="186"/>
    </row>
    <row r="142" spans="1:12" ht="12.95" customHeight="1" x14ac:dyDescent="0.2">
      <c r="A142" s="217" t="s">
        <v>447</v>
      </c>
      <c r="B142" s="242" t="s">
        <v>448</v>
      </c>
      <c r="C142" s="243">
        <v>2</v>
      </c>
      <c r="D142" s="225" t="s">
        <v>263</v>
      </c>
      <c r="E142" s="244">
        <f>'[29]LIST. MATER.'!E105/7</f>
        <v>48.572857142857139</v>
      </c>
      <c r="F142" s="100">
        <f t="shared" si="2"/>
        <v>97.15</v>
      </c>
      <c r="G142" s="186"/>
    </row>
    <row r="143" spans="1:12" ht="12.95" customHeight="1" x14ac:dyDescent="0.2">
      <c r="A143" s="217" t="s">
        <v>449</v>
      </c>
      <c r="B143" s="242" t="s">
        <v>450</v>
      </c>
      <c r="C143" s="243">
        <v>1</v>
      </c>
      <c r="D143" s="225" t="s">
        <v>263</v>
      </c>
      <c r="E143" s="245">
        <f>F36</f>
        <v>1977</v>
      </c>
      <c r="F143" s="100">
        <f t="shared" si="2"/>
        <v>1977</v>
      </c>
      <c r="G143" s="186"/>
    </row>
    <row r="144" spans="1:12" ht="12.95" customHeight="1" x14ac:dyDescent="0.2">
      <c r="A144" s="217" t="s">
        <v>451</v>
      </c>
      <c r="B144" s="242" t="s">
        <v>452</v>
      </c>
      <c r="C144" s="243">
        <v>1</v>
      </c>
      <c r="D144" s="225" t="s">
        <v>263</v>
      </c>
      <c r="E144" s="245">
        <f>F41</f>
        <v>721</v>
      </c>
      <c r="F144" s="100">
        <f t="shared" si="2"/>
        <v>721</v>
      </c>
      <c r="G144" s="186"/>
    </row>
    <row r="145" spans="1:7" ht="12.95" customHeight="1" x14ac:dyDescent="0.2">
      <c r="A145" s="217" t="s">
        <v>453</v>
      </c>
      <c r="B145" s="242" t="s">
        <v>454</v>
      </c>
      <c r="C145" s="243">
        <v>2</v>
      </c>
      <c r="D145" s="225" t="s">
        <v>263</v>
      </c>
      <c r="E145" s="245">
        <f>F41</f>
        <v>721</v>
      </c>
      <c r="F145" s="100">
        <f t="shared" si="2"/>
        <v>1442</v>
      </c>
      <c r="G145" s="186"/>
    </row>
    <row r="146" spans="1:7" ht="12.95" customHeight="1" x14ac:dyDescent="0.2">
      <c r="A146" s="217" t="s">
        <v>455</v>
      </c>
      <c r="B146" s="242" t="s">
        <v>456</v>
      </c>
      <c r="C146" s="243">
        <v>4</v>
      </c>
      <c r="D146" s="225" t="s">
        <v>263</v>
      </c>
      <c r="E146" s="245">
        <f>F41</f>
        <v>721</v>
      </c>
      <c r="F146" s="100">
        <f t="shared" si="2"/>
        <v>2884</v>
      </c>
      <c r="G146" s="186"/>
    </row>
    <row r="147" spans="1:7" ht="12.95" customHeight="1" x14ac:dyDescent="0.2">
      <c r="A147" s="217" t="s">
        <v>457</v>
      </c>
      <c r="B147" s="242" t="s">
        <v>458</v>
      </c>
      <c r="C147" s="243">
        <v>1</v>
      </c>
      <c r="D147" s="225" t="s">
        <v>263</v>
      </c>
      <c r="E147" s="245">
        <f>F41</f>
        <v>721</v>
      </c>
      <c r="F147" s="100">
        <f t="shared" si="2"/>
        <v>721</v>
      </c>
      <c r="G147" s="186"/>
    </row>
    <row r="148" spans="1:7" ht="12.95" customHeight="1" x14ac:dyDescent="0.2">
      <c r="A148" s="217" t="s">
        <v>459</v>
      </c>
      <c r="B148" s="242" t="s">
        <v>460</v>
      </c>
      <c r="C148" s="243">
        <v>1</v>
      </c>
      <c r="D148" s="225" t="s">
        <v>263</v>
      </c>
      <c r="E148" s="245">
        <f>F41</f>
        <v>721</v>
      </c>
      <c r="F148" s="100">
        <f t="shared" si="2"/>
        <v>721</v>
      </c>
      <c r="G148" s="186"/>
    </row>
    <row r="149" spans="1:7" ht="12.95" customHeight="1" x14ac:dyDescent="0.2">
      <c r="A149" s="217" t="s">
        <v>461</v>
      </c>
      <c r="B149" s="242" t="s">
        <v>462</v>
      </c>
      <c r="C149" s="243">
        <v>1</v>
      </c>
      <c r="D149" s="225" t="s">
        <v>263</v>
      </c>
      <c r="E149" s="245">
        <f>F41</f>
        <v>721</v>
      </c>
      <c r="F149" s="100">
        <f t="shared" si="2"/>
        <v>721</v>
      </c>
      <c r="G149" s="186"/>
    </row>
    <row r="150" spans="1:7" ht="12.95" customHeight="1" x14ac:dyDescent="0.2">
      <c r="A150" s="217"/>
      <c r="B150" s="229" t="s">
        <v>434</v>
      </c>
      <c r="C150" s="243">
        <v>14</v>
      </c>
      <c r="D150" s="163" t="s">
        <v>421</v>
      </c>
      <c r="E150" s="245"/>
      <c r="F150" s="200">
        <f>SUM(F138:F149)</f>
        <v>13373</v>
      </c>
      <c r="G150" s="186"/>
    </row>
    <row r="151" spans="1:7" ht="12.95" customHeight="1" thickBot="1" x14ac:dyDescent="0.25">
      <c r="A151" s="232"/>
      <c r="B151" s="233"/>
      <c r="C151" s="234"/>
      <c r="D151" s="235"/>
      <c r="E151" s="236" t="s">
        <v>424</v>
      </c>
      <c r="F151" s="246">
        <f>F150/C150</f>
        <v>955.21428571428567</v>
      </c>
      <c r="G151" s="186"/>
    </row>
    <row r="152" spans="1:7" ht="12.95" customHeight="1" thickTop="1" x14ac:dyDescent="0.2">
      <c r="A152" s="205"/>
      <c r="B152" s="205"/>
      <c r="C152" s="206"/>
      <c r="D152" s="207"/>
      <c r="E152" s="208"/>
      <c r="F152" s="209"/>
      <c r="G152" s="186"/>
    </row>
    <row r="153" spans="1:7" ht="12.75" customHeight="1" x14ac:dyDescent="0.25">
      <c r="A153" s="154" t="s">
        <v>95</v>
      </c>
      <c r="B153" s="1722" t="s">
        <v>463</v>
      </c>
      <c r="C153" s="1722"/>
      <c r="D153" s="1722"/>
      <c r="E153" s="1722"/>
      <c r="F153" s="1722"/>
      <c r="G153" s="186"/>
    </row>
    <row r="154" spans="1:7" ht="5.0999999999999996" customHeight="1" x14ac:dyDescent="0.25">
      <c r="A154" s="247"/>
      <c r="B154" s="247"/>
      <c r="C154" s="247"/>
      <c r="D154" s="247"/>
      <c r="E154" s="247"/>
      <c r="F154" s="247"/>
      <c r="G154" s="186"/>
    </row>
    <row r="155" spans="1:7" ht="12.75" customHeight="1" thickBot="1" x14ac:dyDescent="0.25">
      <c r="A155" s="248" t="s">
        <v>464</v>
      </c>
      <c r="B155" s="187" t="s">
        <v>465</v>
      </c>
      <c r="C155" s="157"/>
      <c r="D155" s="158"/>
      <c r="E155" s="157"/>
      <c r="F155" s="157"/>
      <c r="G155" s="186"/>
    </row>
    <row r="156" spans="1:7" ht="12.75" customHeight="1" thickTop="1" x14ac:dyDescent="0.2">
      <c r="A156" s="159" t="s">
        <v>466</v>
      </c>
      <c r="B156" s="160" t="s">
        <v>287</v>
      </c>
      <c r="C156" s="92">
        <v>0.67</v>
      </c>
      <c r="D156" s="249" t="s">
        <v>88</v>
      </c>
      <c r="E156" s="92">
        <f>SUM(F100)</f>
        <v>1236.76</v>
      </c>
      <c r="F156" s="94">
        <f>ROUND(C156*E156,2)</f>
        <v>828.63</v>
      </c>
      <c r="G156" s="186"/>
    </row>
    <row r="157" spans="1:7" ht="12.75" customHeight="1" x14ac:dyDescent="0.2">
      <c r="A157" s="96" t="s">
        <v>467</v>
      </c>
      <c r="B157" s="162" t="s">
        <v>290</v>
      </c>
      <c r="C157" s="98">
        <v>0.67</v>
      </c>
      <c r="D157" s="250" t="s">
        <v>88</v>
      </c>
      <c r="E157" s="98">
        <f>SUM(F106)</f>
        <v>1336.76</v>
      </c>
      <c r="F157" s="100">
        <f>ROUND(C157*E157,2)</f>
        <v>895.63</v>
      </c>
      <c r="G157" s="186"/>
    </row>
    <row r="158" spans="1:7" ht="12.75" customHeight="1" x14ac:dyDescent="0.2">
      <c r="A158" s="96" t="s">
        <v>468</v>
      </c>
      <c r="B158" s="162" t="s">
        <v>469</v>
      </c>
      <c r="C158" s="98">
        <v>10</v>
      </c>
      <c r="D158" s="250" t="s">
        <v>470</v>
      </c>
      <c r="E158" s="98">
        <f>F68</f>
        <v>400.56270000000006</v>
      </c>
      <c r="F158" s="100">
        <f>ROUND(C158*E158,2)</f>
        <v>4005.63</v>
      </c>
      <c r="G158" s="186"/>
    </row>
    <row r="159" spans="1:7" ht="12.75" customHeight="1" x14ac:dyDescent="0.2">
      <c r="A159" s="96" t="s">
        <v>471</v>
      </c>
      <c r="B159" s="162" t="s">
        <v>472</v>
      </c>
      <c r="C159" s="98">
        <v>60</v>
      </c>
      <c r="D159" s="250" t="s">
        <v>473</v>
      </c>
      <c r="E159" s="98">
        <f>F13</f>
        <v>3</v>
      </c>
      <c r="F159" s="100">
        <f>ROUND(C159*E159,2)</f>
        <v>180</v>
      </c>
      <c r="G159" s="186"/>
    </row>
    <row r="160" spans="1:7" ht="12.75" customHeight="1" x14ac:dyDescent="0.2">
      <c r="A160" s="96" t="s">
        <v>474</v>
      </c>
      <c r="B160" s="162" t="s">
        <v>475</v>
      </c>
      <c r="C160" s="98">
        <v>1</v>
      </c>
      <c r="D160" s="250" t="s">
        <v>88</v>
      </c>
      <c r="E160" s="98">
        <f>F135</f>
        <v>1286.3566666666668</v>
      </c>
      <c r="F160" s="100">
        <f>ROUND(C160*E160,2)</f>
        <v>1286.3599999999999</v>
      </c>
      <c r="G160" s="186"/>
    </row>
    <row r="161" spans="1:7" ht="12.75" customHeight="1" x14ac:dyDescent="0.2">
      <c r="A161" s="96" t="s">
        <v>476</v>
      </c>
      <c r="B161" s="251" t="s">
        <v>477</v>
      </c>
      <c r="C161" s="98">
        <v>2</v>
      </c>
      <c r="D161" s="250" t="s">
        <v>234</v>
      </c>
      <c r="E161" s="98">
        <f>SUM(F156:F159)</f>
        <v>5909.89</v>
      </c>
      <c r="F161" s="100">
        <f>ROUND(C161*E161,2)/100</f>
        <v>118.1978</v>
      </c>
      <c r="G161" s="186"/>
    </row>
    <row r="162" spans="1:7" ht="12.75" customHeight="1" thickBot="1" x14ac:dyDescent="0.25">
      <c r="A162" s="142"/>
      <c r="B162" s="252" t="s">
        <v>478</v>
      </c>
      <c r="C162" s="146"/>
      <c r="D162" s="188"/>
      <c r="E162" s="236" t="s">
        <v>424</v>
      </c>
      <c r="F162" s="175">
        <f>SUM(F156:F161)</f>
        <v>7314.4477999999999</v>
      </c>
      <c r="G162" s="186"/>
    </row>
    <row r="163" spans="1:7" ht="12.75" customHeight="1" thickTop="1" thickBot="1" x14ac:dyDescent="0.25">
      <c r="A163" s="253"/>
      <c r="B163" s="254" t="s">
        <v>479</v>
      </c>
      <c r="C163" s="255"/>
      <c r="D163" s="256"/>
      <c r="E163" s="257" t="s">
        <v>424</v>
      </c>
      <c r="F163" s="258">
        <f>(F162-F160)+(C160*F151)</f>
        <v>6983.3020857142856</v>
      </c>
      <c r="G163" s="186"/>
    </row>
    <row r="164" spans="1:7" ht="12.75" customHeight="1" thickTop="1" thickBot="1" x14ac:dyDescent="0.25">
      <c r="A164" s="253"/>
      <c r="B164" s="254" t="s">
        <v>480</v>
      </c>
      <c r="C164" s="255"/>
      <c r="D164" s="256"/>
      <c r="E164" s="257" t="s">
        <v>424</v>
      </c>
      <c r="F164" s="259">
        <v>9500</v>
      </c>
      <c r="G164" s="186"/>
    </row>
    <row r="165" spans="1:7" ht="12.75" customHeight="1" thickTop="1" x14ac:dyDescent="0.25">
      <c r="A165" s="247"/>
      <c r="B165" s="247"/>
      <c r="C165" s="247"/>
      <c r="D165" s="247"/>
      <c r="E165" s="247"/>
      <c r="F165" s="247"/>
      <c r="G165" s="186"/>
    </row>
    <row r="166" spans="1:7" ht="12.95" customHeight="1" thickBot="1" x14ac:dyDescent="0.25">
      <c r="A166" s="248" t="s">
        <v>464</v>
      </c>
      <c r="B166" s="187" t="s">
        <v>481</v>
      </c>
      <c r="C166" s="157"/>
      <c r="D166" s="158"/>
      <c r="E166" s="157"/>
      <c r="F166" s="157"/>
    </row>
    <row r="167" spans="1:7" ht="12.95" customHeight="1" thickTop="1" x14ac:dyDescent="0.2">
      <c r="A167" s="159" t="s">
        <v>466</v>
      </c>
      <c r="B167" s="160" t="s">
        <v>287</v>
      </c>
      <c r="C167" s="92">
        <v>0.6</v>
      </c>
      <c r="D167" s="249" t="s">
        <v>88</v>
      </c>
      <c r="E167" s="92">
        <f>SUM(F100)</f>
        <v>1236.76</v>
      </c>
      <c r="F167" s="94">
        <f>ROUND(C167*E167,2)</f>
        <v>742.06</v>
      </c>
      <c r="G167" s="260"/>
    </row>
    <row r="168" spans="1:7" ht="12.95" customHeight="1" x14ac:dyDescent="0.2">
      <c r="A168" s="96" t="s">
        <v>467</v>
      </c>
      <c r="B168" s="162" t="s">
        <v>290</v>
      </c>
      <c r="C168" s="98">
        <v>0.76</v>
      </c>
      <c r="D168" s="250" t="s">
        <v>88</v>
      </c>
      <c r="E168" s="98">
        <f>SUM(F106)</f>
        <v>1336.76</v>
      </c>
      <c r="F168" s="100">
        <f>ROUND(C168*E168,2)</f>
        <v>1015.94</v>
      </c>
      <c r="G168" s="260"/>
    </row>
    <row r="169" spans="1:7" ht="12.95" customHeight="1" x14ac:dyDescent="0.2">
      <c r="A169" s="96" t="s">
        <v>468</v>
      </c>
      <c r="B169" s="162" t="s">
        <v>469</v>
      </c>
      <c r="C169" s="98">
        <v>9</v>
      </c>
      <c r="D169" s="250" t="s">
        <v>470</v>
      </c>
      <c r="E169" s="98">
        <f>F68</f>
        <v>400.56270000000006</v>
      </c>
      <c r="F169" s="100">
        <f>ROUND(C169*E169,2)</f>
        <v>3605.06</v>
      </c>
      <c r="G169" s="260"/>
    </row>
    <row r="170" spans="1:7" ht="12.95" customHeight="1" x14ac:dyDescent="0.2">
      <c r="A170" s="96" t="s">
        <v>471</v>
      </c>
      <c r="B170" s="162" t="s">
        <v>472</v>
      </c>
      <c r="C170" s="98">
        <v>60</v>
      </c>
      <c r="D170" s="250" t="s">
        <v>473</v>
      </c>
      <c r="E170" s="98">
        <f>F13</f>
        <v>3</v>
      </c>
      <c r="F170" s="100">
        <f>ROUND(C170*E170,2)</f>
        <v>180</v>
      </c>
      <c r="G170" s="260"/>
    </row>
    <row r="171" spans="1:7" ht="12.95" customHeight="1" x14ac:dyDescent="0.2">
      <c r="A171" s="96" t="s">
        <v>474</v>
      </c>
      <c r="B171" s="162" t="s">
        <v>475</v>
      </c>
      <c r="C171" s="98">
        <v>1</v>
      </c>
      <c r="D171" s="250" t="s">
        <v>88</v>
      </c>
      <c r="E171" s="98">
        <f>F135</f>
        <v>1286.3566666666668</v>
      </c>
      <c r="F171" s="100">
        <f>ROUND(C171*E171,2)</f>
        <v>1286.3599999999999</v>
      </c>
      <c r="G171" s="260"/>
    </row>
    <row r="172" spans="1:7" ht="12.95" customHeight="1" x14ac:dyDescent="0.2">
      <c r="A172" s="96" t="s">
        <v>476</v>
      </c>
      <c r="B172" s="251" t="s">
        <v>477</v>
      </c>
      <c r="C172" s="98">
        <v>2</v>
      </c>
      <c r="D172" s="250" t="s">
        <v>234</v>
      </c>
      <c r="E172" s="98">
        <f>SUM(F167:F170)</f>
        <v>5543.0599999999995</v>
      </c>
      <c r="F172" s="100">
        <f>ROUND(C172*E172,2)/100</f>
        <v>110.86120000000001</v>
      </c>
      <c r="G172" s="260"/>
    </row>
    <row r="173" spans="1:7" ht="12.95" customHeight="1" thickBot="1" x14ac:dyDescent="0.25">
      <c r="A173" s="142"/>
      <c r="B173" s="252" t="s">
        <v>482</v>
      </c>
      <c r="C173" s="146"/>
      <c r="D173" s="188"/>
      <c r="E173" s="236" t="s">
        <v>424</v>
      </c>
      <c r="F173" s="175">
        <f>SUM(F167:F172)</f>
        <v>6940.2811999999994</v>
      </c>
      <c r="G173" s="186"/>
    </row>
    <row r="174" spans="1:7" ht="12.95" customHeight="1" thickTop="1" thickBot="1" x14ac:dyDescent="0.25">
      <c r="A174" s="253"/>
      <c r="B174" s="254" t="s">
        <v>483</v>
      </c>
      <c r="C174" s="255"/>
      <c r="D174" s="256"/>
      <c r="E174" s="257" t="s">
        <v>424</v>
      </c>
      <c r="F174" s="258">
        <f>(F173-F171)+(C171*F151)</f>
        <v>6609.1354857142851</v>
      </c>
      <c r="G174" s="186"/>
    </row>
    <row r="175" spans="1:7" ht="12.95" customHeight="1" thickTop="1" thickBot="1" x14ac:dyDescent="0.25">
      <c r="A175" s="253"/>
      <c r="B175" s="254" t="s">
        <v>484</v>
      </c>
      <c r="C175" s="255"/>
      <c r="D175" s="256"/>
      <c r="E175" s="257" t="s">
        <v>424</v>
      </c>
      <c r="F175" s="259">
        <v>6500</v>
      </c>
      <c r="G175" s="186"/>
    </row>
    <row r="176" spans="1:7" ht="12.95" customHeight="1" thickTop="1" x14ac:dyDescent="0.2">
      <c r="B176" s="196"/>
      <c r="C176" s="132"/>
      <c r="D176" s="261"/>
      <c r="E176" s="185"/>
      <c r="F176" s="185"/>
      <c r="G176" s="186"/>
    </row>
    <row r="177" spans="1:7" ht="12.95" customHeight="1" thickBot="1" x14ac:dyDescent="0.25">
      <c r="A177" s="248" t="s">
        <v>485</v>
      </c>
      <c r="B177" s="262" t="s">
        <v>486</v>
      </c>
    </row>
    <row r="178" spans="1:7" ht="12.95" customHeight="1" thickTop="1" x14ac:dyDescent="0.2">
      <c r="A178" s="159" t="s">
        <v>487</v>
      </c>
      <c r="B178" s="160" t="s">
        <v>287</v>
      </c>
      <c r="C178" s="92">
        <v>0.52</v>
      </c>
      <c r="D178" s="161" t="s">
        <v>88</v>
      </c>
      <c r="E178" s="92">
        <f>SUM(F100)</f>
        <v>1236.76</v>
      </c>
      <c r="F178" s="94">
        <f>ROUND(C178*E178,2)</f>
        <v>643.12</v>
      </c>
      <c r="G178" s="260"/>
    </row>
    <row r="179" spans="1:7" ht="12.95" customHeight="1" x14ac:dyDescent="0.2">
      <c r="A179" s="96" t="s">
        <v>488</v>
      </c>
      <c r="B179" s="162" t="s">
        <v>290</v>
      </c>
      <c r="C179" s="98">
        <v>0.9</v>
      </c>
      <c r="D179" s="163" t="s">
        <v>88</v>
      </c>
      <c r="E179" s="98">
        <f>SUM(F106)</f>
        <v>1336.76</v>
      </c>
      <c r="F179" s="100">
        <f>ROUND(C179*E179,2)</f>
        <v>1203.08</v>
      </c>
      <c r="G179" s="260"/>
    </row>
    <row r="180" spans="1:7" ht="12.95" customHeight="1" x14ac:dyDescent="0.2">
      <c r="A180" s="96" t="s">
        <v>489</v>
      </c>
      <c r="B180" s="162" t="s">
        <v>490</v>
      </c>
      <c r="C180" s="98">
        <v>8</v>
      </c>
      <c r="D180" s="163" t="s">
        <v>278</v>
      </c>
      <c r="E180" s="98">
        <f>+F68</f>
        <v>400.56270000000006</v>
      </c>
      <c r="F180" s="100">
        <f>ROUND(C180*E180,2)</f>
        <v>3204.5</v>
      </c>
      <c r="G180" s="260"/>
    </row>
    <row r="181" spans="1:7" ht="12.95" customHeight="1" x14ac:dyDescent="0.2">
      <c r="A181" s="96" t="s">
        <v>491</v>
      </c>
      <c r="B181" s="162" t="s">
        <v>273</v>
      </c>
      <c r="C181" s="98">
        <v>60</v>
      </c>
      <c r="D181" s="163" t="s">
        <v>473</v>
      </c>
      <c r="E181" s="98">
        <f>F13</f>
        <v>3</v>
      </c>
      <c r="F181" s="100">
        <f>ROUND(C181*E181,2)</f>
        <v>180</v>
      </c>
      <c r="G181" s="260"/>
    </row>
    <row r="182" spans="1:7" ht="12.95" customHeight="1" x14ac:dyDescent="0.2">
      <c r="A182" s="96" t="s">
        <v>492</v>
      </c>
      <c r="B182" s="162" t="s">
        <v>493</v>
      </c>
      <c r="C182" s="98">
        <v>1</v>
      </c>
      <c r="D182" s="163" t="s">
        <v>88</v>
      </c>
      <c r="E182" s="98">
        <f>F135</f>
        <v>1286.3566666666668</v>
      </c>
      <c r="F182" s="100">
        <f>ROUND(C182*E182,2)</f>
        <v>1286.3599999999999</v>
      </c>
      <c r="G182" s="260"/>
    </row>
    <row r="183" spans="1:7" ht="12.95" customHeight="1" x14ac:dyDescent="0.2">
      <c r="A183" s="96" t="s">
        <v>494</v>
      </c>
      <c r="B183" s="162" t="s">
        <v>477</v>
      </c>
      <c r="C183" s="98">
        <v>2</v>
      </c>
      <c r="D183" s="250" t="s">
        <v>234</v>
      </c>
      <c r="E183" s="98">
        <f>SUM(F178:F181)</f>
        <v>5230.7</v>
      </c>
      <c r="F183" s="100">
        <f>ROUND(C183*E183,2)/100</f>
        <v>104.61399999999999</v>
      </c>
      <c r="G183" s="260"/>
    </row>
    <row r="184" spans="1:7" ht="12.95" customHeight="1" thickBot="1" x14ac:dyDescent="0.25">
      <c r="A184" s="142"/>
      <c r="B184" s="252" t="s">
        <v>495</v>
      </c>
      <c r="C184" s="146"/>
      <c r="D184" s="188"/>
      <c r="E184" s="236" t="s">
        <v>424</v>
      </c>
      <c r="F184" s="185">
        <f>SUM(F178:F183)</f>
        <v>6621.6739999999991</v>
      </c>
      <c r="G184" s="186"/>
    </row>
    <row r="185" spans="1:7" ht="12.95" customHeight="1" thickTop="1" thickBot="1" x14ac:dyDescent="0.25">
      <c r="A185" s="253"/>
      <c r="B185" s="254" t="s">
        <v>496</v>
      </c>
      <c r="C185" s="255"/>
      <c r="D185" s="256"/>
      <c r="E185" s="257" t="s">
        <v>424</v>
      </c>
      <c r="F185" s="258">
        <f>(F184-F182)+(C182*F151)</f>
        <v>6290.5282857142847</v>
      </c>
      <c r="G185" s="186"/>
    </row>
    <row r="186" spans="1:7" ht="12.95" customHeight="1" thickTop="1" thickBot="1" x14ac:dyDescent="0.25">
      <c r="A186" s="253"/>
      <c r="B186" s="254" t="s">
        <v>497</v>
      </c>
      <c r="C186" s="255"/>
      <c r="D186" s="256"/>
      <c r="E186" s="257" t="s">
        <v>424</v>
      </c>
      <c r="F186" s="259">
        <v>6000</v>
      </c>
      <c r="G186" s="186"/>
    </row>
    <row r="187" spans="1:7" ht="12.95" customHeight="1" thickTop="1" x14ac:dyDescent="0.2">
      <c r="B187" s="196"/>
      <c r="C187" s="132"/>
      <c r="D187" s="261"/>
      <c r="E187" s="185"/>
      <c r="F187" s="185"/>
      <c r="G187" s="186"/>
    </row>
    <row r="188" spans="1:7" ht="12.95" customHeight="1" thickBot="1" x14ac:dyDescent="0.25">
      <c r="A188" s="248" t="s">
        <v>498</v>
      </c>
      <c r="B188" s="262" t="s">
        <v>499</v>
      </c>
    </row>
    <row r="189" spans="1:7" ht="12.95" customHeight="1" thickTop="1" x14ac:dyDescent="0.2">
      <c r="A189" s="159" t="s">
        <v>500</v>
      </c>
      <c r="B189" s="160" t="s">
        <v>287</v>
      </c>
      <c r="C189" s="92">
        <v>0.55000000000000004</v>
      </c>
      <c r="D189" s="161" t="s">
        <v>88</v>
      </c>
      <c r="E189" s="92">
        <f>SUM(F100)</f>
        <v>1236.76</v>
      </c>
      <c r="F189" s="94">
        <f>ROUND(C189*E189,2)</f>
        <v>680.22</v>
      </c>
      <c r="G189" s="260"/>
    </row>
    <row r="190" spans="1:7" ht="12.95" customHeight="1" x14ac:dyDescent="0.2">
      <c r="A190" s="96" t="s">
        <v>501</v>
      </c>
      <c r="B190" s="162" t="s">
        <v>290</v>
      </c>
      <c r="C190" s="98">
        <v>0.92</v>
      </c>
      <c r="D190" s="163" t="s">
        <v>88</v>
      </c>
      <c r="E190" s="98">
        <f>SUM(F106)</f>
        <v>1336.76</v>
      </c>
      <c r="F190" s="100">
        <f>ROUND(C190*E190,2)</f>
        <v>1229.82</v>
      </c>
      <c r="G190" s="260"/>
    </row>
    <row r="191" spans="1:7" ht="12.95" customHeight="1" x14ac:dyDescent="0.2">
      <c r="A191" s="96" t="s">
        <v>502</v>
      </c>
      <c r="B191" s="162" t="s">
        <v>469</v>
      </c>
      <c r="C191" s="98">
        <v>7</v>
      </c>
      <c r="D191" s="163" t="s">
        <v>503</v>
      </c>
      <c r="E191" s="98">
        <f>F68</f>
        <v>400.56270000000006</v>
      </c>
      <c r="F191" s="100">
        <f>ROUND(C191*E191,2)</f>
        <v>2803.94</v>
      </c>
      <c r="G191" s="260"/>
    </row>
    <row r="192" spans="1:7" ht="12.95" customHeight="1" x14ac:dyDescent="0.2">
      <c r="A192" s="96" t="s">
        <v>504</v>
      </c>
      <c r="B192" s="162" t="s">
        <v>273</v>
      </c>
      <c r="C192" s="98">
        <v>60</v>
      </c>
      <c r="D192" s="163" t="s">
        <v>473</v>
      </c>
      <c r="E192" s="98">
        <f>F13</f>
        <v>3</v>
      </c>
      <c r="F192" s="100">
        <f>ROUND(C192*E192,2)</f>
        <v>180</v>
      </c>
      <c r="G192" s="260"/>
    </row>
    <row r="193" spans="1:7" ht="12.95" customHeight="1" x14ac:dyDescent="0.2">
      <c r="A193" s="96" t="s">
        <v>505</v>
      </c>
      <c r="B193" s="162" t="s">
        <v>493</v>
      </c>
      <c r="C193" s="98">
        <v>1</v>
      </c>
      <c r="D193" s="163" t="s">
        <v>88</v>
      </c>
      <c r="E193" s="98">
        <f>F135</f>
        <v>1286.3566666666668</v>
      </c>
      <c r="F193" s="100">
        <f>ROUND(C193*E193,2)</f>
        <v>1286.3599999999999</v>
      </c>
      <c r="G193" s="260"/>
    </row>
    <row r="194" spans="1:7" ht="12.95" customHeight="1" x14ac:dyDescent="0.2">
      <c r="A194" s="96" t="s">
        <v>506</v>
      </c>
      <c r="B194" s="162" t="s">
        <v>477</v>
      </c>
      <c r="C194" s="140">
        <v>2</v>
      </c>
      <c r="D194" s="163" t="s">
        <v>234</v>
      </c>
      <c r="E194" s="98">
        <f>SUM(F189:F192)</f>
        <v>4893.9799999999996</v>
      </c>
      <c r="F194" s="100">
        <f>ROUND(C194*E194,2)/100</f>
        <v>97.879599999999996</v>
      </c>
      <c r="G194" s="260"/>
    </row>
    <row r="195" spans="1:7" ht="12.95" customHeight="1" thickBot="1" x14ac:dyDescent="0.25">
      <c r="A195" s="142"/>
      <c r="B195" s="252" t="s">
        <v>507</v>
      </c>
      <c r="C195" s="146"/>
      <c r="D195" s="188"/>
      <c r="E195" s="236" t="s">
        <v>424</v>
      </c>
      <c r="F195" s="185">
        <f>SUM(F189:F194)</f>
        <v>6278.2195999999994</v>
      </c>
      <c r="G195" s="186"/>
    </row>
    <row r="196" spans="1:7" ht="12.95" customHeight="1" thickTop="1" thickBot="1" x14ac:dyDescent="0.25">
      <c r="A196" s="253"/>
      <c r="B196" s="254" t="s">
        <v>508</v>
      </c>
      <c r="C196" s="255"/>
      <c r="D196" s="256"/>
      <c r="E196" s="257" t="s">
        <v>424</v>
      </c>
      <c r="F196" s="258">
        <f>(F195-F193)+(C193*F151)</f>
        <v>5947.0738857142851</v>
      </c>
      <c r="G196" s="186"/>
    </row>
    <row r="197" spans="1:7" ht="12.95" customHeight="1" thickTop="1" thickBot="1" x14ac:dyDescent="0.25">
      <c r="A197" s="253"/>
      <c r="B197" s="254" t="s">
        <v>509</v>
      </c>
      <c r="C197" s="255"/>
      <c r="D197" s="256"/>
      <c r="E197" s="257" t="s">
        <v>424</v>
      </c>
      <c r="F197" s="259">
        <v>5600</v>
      </c>
      <c r="G197" s="186"/>
    </row>
    <row r="198" spans="1:7" ht="12.95" customHeight="1" thickTop="1" x14ac:dyDescent="0.2">
      <c r="B198" s="196"/>
      <c r="C198" s="132"/>
      <c r="D198" s="261"/>
      <c r="E198" s="185"/>
      <c r="F198" s="263"/>
      <c r="G198" s="186"/>
    </row>
    <row r="199" spans="1:7" ht="12.95" customHeight="1" thickBot="1" x14ac:dyDescent="0.25">
      <c r="A199" s="248" t="s">
        <v>510</v>
      </c>
      <c r="B199" s="262" t="s">
        <v>511</v>
      </c>
    </row>
    <row r="200" spans="1:7" ht="12.95" customHeight="1" thickTop="1" x14ac:dyDescent="0.2">
      <c r="A200" s="159" t="s">
        <v>512</v>
      </c>
      <c r="B200" s="160" t="s">
        <v>287</v>
      </c>
      <c r="C200" s="92">
        <v>0.52</v>
      </c>
      <c r="D200" s="161" t="s">
        <v>88</v>
      </c>
      <c r="E200" s="92">
        <f>SUM(F100)</f>
        <v>1236.76</v>
      </c>
      <c r="F200" s="94">
        <f>ROUND(C200*E200,2)</f>
        <v>643.12</v>
      </c>
      <c r="G200" s="260"/>
    </row>
    <row r="201" spans="1:7" ht="12.95" customHeight="1" x14ac:dyDescent="0.2">
      <c r="A201" s="264" t="s">
        <v>513</v>
      </c>
      <c r="B201" s="162" t="s">
        <v>290</v>
      </c>
      <c r="C201" s="265">
        <v>0.67</v>
      </c>
      <c r="D201" s="266" t="s">
        <v>88</v>
      </c>
      <c r="E201" s="265">
        <f>SUM(F106)</f>
        <v>1336.76</v>
      </c>
      <c r="F201" s="100">
        <f>ROUND(C201*E201,2)</f>
        <v>895.63</v>
      </c>
      <c r="G201" s="260"/>
    </row>
    <row r="202" spans="1:7" ht="12.95" customHeight="1" x14ac:dyDescent="0.2">
      <c r="A202" s="264" t="s">
        <v>514</v>
      </c>
      <c r="B202" s="162" t="s">
        <v>469</v>
      </c>
      <c r="C202" s="98">
        <v>6</v>
      </c>
      <c r="D202" s="163" t="s">
        <v>503</v>
      </c>
      <c r="E202" s="98">
        <f>F68</f>
        <v>400.56270000000006</v>
      </c>
      <c r="F202" s="100">
        <f>ROUND(C202*E202,2)</f>
        <v>2403.38</v>
      </c>
      <c r="G202" s="260"/>
    </row>
    <row r="203" spans="1:7" ht="12.95" customHeight="1" x14ac:dyDescent="0.2">
      <c r="A203" s="264" t="s">
        <v>515</v>
      </c>
      <c r="B203" s="162" t="s">
        <v>273</v>
      </c>
      <c r="C203" s="98">
        <v>60</v>
      </c>
      <c r="D203" s="163" t="s">
        <v>473</v>
      </c>
      <c r="E203" s="98">
        <f>F13</f>
        <v>3</v>
      </c>
      <c r="F203" s="100">
        <f>ROUND(C203*E203,2)</f>
        <v>180</v>
      </c>
      <c r="G203" s="260"/>
    </row>
    <row r="204" spans="1:7" ht="12.95" customHeight="1" x14ac:dyDescent="0.2">
      <c r="A204" s="264" t="s">
        <v>516</v>
      </c>
      <c r="B204" s="162" t="s">
        <v>493</v>
      </c>
      <c r="C204" s="98">
        <v>1</v>
      </c>
      <c r="D204" s="163" t="s">
        <v>88</v>
      </c>
      <c r="E204" s="98">
        <f>F135</f>
        <v>1286.3566666666668</v>
      </c>
      <c r="F204" s="100">
        <f>ROUND(C204*E204,2)</f>
        <v>1286.3599999999999</v>
      </c>
      <c r="G204" s="260"/>
    </row>
    <row r="205" spans="1:7" ht="12.95" customHeight="1" x14ac:dyDescent="0.2">
      <c r="A205" s="264" t="s">
        <v>517</v>
      </c>
      <c r="B205" s="162" t="s">
        <v>477</v>
      </c>
      <c r="C205" s="98">
        <v>2</v>
      </c>
      <c r="D205" s="163" t="s">
        <v>234</v>
      </c>
      <c r="E205" s="98">
        <f>SUM(F200:F203)</f>
        <v>4122.13</v>
      </c>
      <c r="F205" s="100">
        <f>ROUND(C205*E205,2)/100</f>
        <v>82.442599999999999</v>
      </c>
      <c r="G205" s="260"/>
    </row>
    <row r="206" spans="1:7" ht="12.95" customHeight="1" thickBot="1" x14ac:dyDescent="0.25">
      <c r="A206" s="142"/>
      <c r="B206" s="252" t="s">
        <v>518</v>
      </c>
      <c r="C206" s="146"/>
      <c r="D206" s="188"/>
      <c r="E206" s="236" t="s">
        <v>424</v>
      </c>
      <c r="F206" s="185">
        <f>SUM(F200:F205)</f>
        <v>5490.9326000000001</v>
      </c>
      <c r="G206" s="186"/>
    </row>
    <row r="207" spans="1:7" ht="12.95" customHeight="1" thickTop="1" thickBot="1" x14ac:dyDescent="0.25">
      <c r="A207" s="253"/>
      <c r="B207" s="254" t="s">
        <v>519</v>
      </c>
      <c r="C207" s="255"/>
      <c r="D207" s="256"/>
      <c r="E207" s="257" t="s">
        <v>424</v>
      </c>
      <c r="F207" s="258">
        <f>(F206-F204)+(C204*F151)</f>
        <v>5159.7868857142857</v>
      </c>
      <c r="G207" s="186"/>
    </row>
    <row r="208" spans="1:7" ht="12.95" customHeight="1" thickTop="1" thickBot="1" x14ac:dyDescent="0.25">
      <c r="A208" s="253"/>
      <c r="B208" s="254" t="s">
        <v>520</v>
      </c>
      <c r="C208" s="255"/>
      <c r="D208" s="256"/>
      <c r="E208" s="257" t="s">
        <v>424</v>
      </c>
      <c r="F208" s="259">
        <v>5000</v>
      </c>
      <c r="G208" s="186"/>
    </row>
    <row r="209" spans="1:7" ht="12.95" customHeight="1" thickTop="1" x14ac:dyDescent="0.2">
      <c r="C209" s="132"/>
      <c r="D209" s="261"/>
      <c r="E209" s="185"/>
      <c r="F209" s="185"/>
      <c r="G209" s="186"/>
    </row>
    <row r="210" spans="1:7" ht="12.95" customHeight="1" thickBot="1" x14ac:dyDescent="0.25">
      <c r="A210" s="248" t="s">
        <v>521</v>
      </c>
      <c r="B210" s="196" t="s">
        <v>522</v>
      </c>
      <c r="G210" s="186"/>
    </row>
    <row r="211" spans="1:7" ht="12.95" customHeight="1" thickTop="1" x14ac:dyDescent="0.2">
      <c r="A211" s="159" t="s">
        <v>523</v>
      </c>
      <c r="B211" s="160" t="s">
        <v>524</v>
      </c>
      <c r="C211" s="92">
        <v>0.8</v>
      </c>
      <c r="D211" s="249" t="s">
        <v>88</v>
      </c>
      <c r="E211" s="92">
        <f>F206</f>
        <v>5490.9326000000001</v>
      </c>
      <c r="F211" s="94">
        <f>ROUND(C211*E211,2)</f>
        <v>4392.75</v>
      </c>
      <c r="G211" s="186"/>
    </row>
    <row r="212" spans="1:7" ht="12.95" customHeight="1" x14ac:dyDescent="0.2">
      <c r="A212" s="96" t="s">
        <v>525</v>
      </c>
      <c r="B212" s="162" t="s">
        <v>526</v>
      </c>
      <c r="C212" s="98">
        <v>0.45</v>
      </c>
      <c r="D212" s="250" t="s">
        <v>88</v>
      </c>
      <c r="E212" s="98">
        <v>150</v>
      </c>
      <c r="F212" s="100">
        <f>ROUND(C212*E212,2)</f>
        <v>67.5</v>
      </c>
      <c r="G212" s="186"/>
    </row>
    <row r="213" spans="1:7" ht="12.95" customHeight="1" x14ac:dyDescent="0.2">
      <c r="A213" s="96" t="s">
        <v>527</v>
      </c>
      <c r="B213" s="162" t="s">
        <v>528</v>
      </c>
      <c r="C213" s="98">
        <v>1</v>
      </c>
      <c r="D213" s="250" t="s">
        <v>88</v>
      </c>
      <c r="E213" s="98">
        <f>SUM(F211:F212)*0.15</f>
        <v>669.03750000000002</v>
      </c>
      <c r="F213" s="100">
        <f>ROUND(C213*E213,2)</f>
        <v>669.04</v>
      </c>
      <c r="G213" s="186"/>
    </row>
    <row r="214" spans="1:7" ht="12.95" customHeight="1" thickBot="1" x14ac:dyDescent="0.25">
      <c r="A214" s="142"/>
      <c r="B214" s="252" t="s">
        <v>529</v>
      </c>
      <c r="C214" s="146"/>
      <c r="D214" s="188"/>
      <c r="E214" s="236" t="s">
        <v>530</v>
      </c>
      <c r="F214" s="175">
        <f>SUM(F211:F213)</f>
        <v>5129.29</v>
      </c>
      <c r="G214" s="186"/>
    </row>
    <row r="215" spans="1:7" ht="12.95" customHeight="1" thickTop="1" thickBot="1" x14ac:dyDescent="0.25">
      <c r="A215" s="253"/>
      <c r="B215" s="254" t="s">
        <v>531</v>
      </c>
      <c r="C215" s="255"/>
      <c r="D215" s="256"/>
      <c r="E215" s="257" t="s">
        <v>424</v>
      </c>
      <c r="F215" s="258">
        <f>(F214-F211)+(C211*F207)</f>
        <v>4864.3695085714289</v>
      </c>
      <c r="G215" s="186"/>
    </row>
    <row r="216" spans="1:7" ht="12.95" customHeight="1" thickTop="1" x14ac:dyDescent="0.2">
      <c r="C216" s="132"/>
      <c r="D216" s="261"/>
      <c r="E216" s="185"/>
      <c r="F216" s="185"/>
      <c r="G216" s="186"/>
    </row>
    <row r="217" spans="1:7" ht="12.95" customHeight="1" thickBot="1" x14ac:dyDescent="0.25">
      <c r="A217" s="248" t="s">
        <v>532</v>
      </c>
      <c r="B217" s="262" t="s">
        <v>533</v>
      </c>
      <c r="G217" s="186"/>
    </row>
    <row r="218" spans="1:7" ht="12.95" customHeight="1" thickTop="1" x14ac:dyDescent="0.2">
      <c r="A218" s="159" t="s">
        <v>534</v>
      </c>
      <c r="B218" s="160" t="s">
        <v>287</v>
      </c>
      <c r="C218" s="92">
        <v>0.52</v>
      </c>
      <c r="D218" s="267" t="s">
        <v>88</v>
      </c>
      <c r="E218" s="92">
        <f>F106</f>
        <v>1336.76</v>
      </c>
      <c r="F218" s="268">
        <f>ROUND(C218*E218,2)</f>
        <v>695.12</v>
      </c>
      <c r="G218" s="186"/>
    </row>
    <row r="219" spans="1:7" ht="12.95" customHeight="1" x14ac:dyDescent="0.2">
      <c r="A219" s="96" t="s">
        <v>535</v>
      </c>
      <c r="B219" s="162" t="s">
        <v>290</v>
      </c>
      <c r="C219" s="98">
        <v>0.85</v>
      </c>
      <c r="D219" s="269" t="s">
        <v>88</v>
      </c>
      <c r="E219" s="98">
        <f>F100</f>
        <v>1236.76</v>
      </c>
      <c r="F219" s="270">
        <f>ROUND(C219*E219,2)</f>
        <v>1051.25</v>
      </c>
      <c r="G219" s="186"/>
    </row>
    <row r="220" spans="1:7" ht="12.95" customHeight="1" x14ac:dyDescent="0.2">
      <c r="A220" s="96" t="s">
        <v>536</v>
      </c>
      <c r="B220" s="162" t="s">
        <v>273</v>
      </c>
      <c r="C220" s="98">
        <v>60</v>
      </c>
      <c r="D220" s="269" t="s">
        <v>473</v>
      </c>
      <c r="E220" s="98">
        <f>F13</f>
        <v>3</v>
      </c>
      <c r="F220" s="270">
        <f>ROUND(C220*E220,2)</f>
        <v>180</v>
      </c>
      <c r="G220" s="186"/>
    </row>
    <row r="221" spans="1:7" ht="12.95" customHeight="1" x14ac:dyDescent="0.2">
      <c r="A221" s="96" t="s">
        <v>537</v>
      </c>
      <c r="B221" s="162" t="s">
        <v>538</v>
      </c>
      <c r="C221" s="98">
        <v>6.4</v>
      </c>
      <c r="D221" s="271" t="s">
        <v>503</v>
      </c>
      <c r="E221" s="98">
        <f>F68</f>
        <v>400.56270000000006</v>
      </c>
      <c r="F221" s="270">
        <f>ROUND(C221*E221,2)</f>
        <v>2563.6</v>
      </c>
      <c r="G221" s="186"/>
    </row>
    <row r="222" spans="1:7" ht="12.95" customHeight="1" x14ac:dyDescent="0.2">
      <c r="A222" s="96" t="s">
        <v>539</v>
      </c>
      <c r="B222" s="162" t="s">
        <v>540</v>
      </c>
      <c r="C222" s="98">
        <v>0.5</v>
      </c>
      <c r="D222" s="269" t="s">
        <v>343</v>
      </c>
      <c r="E222" s="98">
        <f>F42</f>
        <v>659</v>
      </c>
      <c r="F222" s="270">
        <f>ROUND(C222*E222,2)</f>
        <v>329.5</v>
      </c>
      <c r="G222" s="186"/>
    </row>
    <row r="223" spans="1:7" ht="12.95" customHeight="1" x14ac:dyDescent="0.2">
      <c r="A223" s="96" t="s">
        <v>541</v>
      </c>
      <c r="B223" s="272" t="s">
        <v>542</v>
      </c>
      <c r="C223" s="98">
        <v>3</v>
      </c>
      <c r="D223" s="269" t="s">
        <v>234</v>
      </c>
      <c r="E223" s="98">
        <f>SUM(F218:F221)</f>
        <v>4489.9699999999993</v>
      </c>
      <c r="F223" s="100">
        <f>ROUND(C223*E223,2)/100</f>
        <v>134.69909999999999</v>
      </c>
      <c r="G223" s="186"/>
    </row>
    <row r="224" spans="1:7" ht="12.95" customHeight="1" thickBot="1" x14ac:dyDescent="0.25">
      <c r="A224" s="142"/>
      <c r="B224" s="182"/>
      <c r="C224" s="146"/>
      <c r="D224" s="188"/>
      <c r="E224" s="236" t="s">
        <v>530</v>
      </c>
      <c r="F224" s="175">
        <f>SUM(F218:F223)</f>
        <v>4954.1690999999992</v>
      </c>
      <c r="G224" s="186"/>
    </row>
    <row r="225" spans="1:8" ht="12.95" customHeight="1" thickTop="1" x14ac:dyDescent="0.2">
      <c r="C225" s="132"/>
      <c r="D225" s="261"/>
      <c r="E225" s="185"/>
      <c r="F225" s="185"/>
      <c r="G225" s="186"/>
    </row>
    <row r="226" spans="1:8" ht="12.95" customHeight="1" thickBot="1" x14ac:dyDescent="0.25">
      <c r="A226" s="210" t="s">
        <v>543</v>
      </c>
      <c r="B226" s="211" t="s">
        <v>544</v>
      </c>
      <c r="C226" s="273" t="s">
        <v>545</v>
      </c>
      <c r="D226" s="274"/>
      <c r="E226" s="273" t="s">
        <v>546</v>
      </c>
      <c r="F226" s="273" t="s">
        <v>547</v>
      </c>
      <c r="G226" s="186"/>
      <c r="H226" s="275"/>
    </row>
    <row r="227" spans="1:8" ht="12.95" customHeight="1" thickTop="1" x14ac:dyDescent="0.2">
      <c r="A227" s="276">
        <v>140</v>
      </c>
      <c r="B227" s="213" t="s">
        <v>548</v>
      </c>
      <c r="C227" s="216">
        <f>F207</f>
        <v>5159.7868857142857</v>
      </c>
      <c r="D227" s="277" t="s">
        <v>88</v>
      </c>
      <c r="E227" s="278">
        <f>F206</f>
        <v>5490.9326000000001</v>
      </c>
      <c r="F227" s="279">
        <f>F208</f>
        <v>5000</v>
      </c>
      <c r="G227" s="186"/>
    </row>
    <row r="228" spans="1:8" ht="12.95" customHeight="1" x14ac:dyDescent="0.2">
      <c r="A228" s="228">
        <v>180</v>
      </c>
      <c r="B228" s="218" t="s">
        <v>548</v>
      </c>
      <c r="C228" s="221">
        <f>F196</f>
        <v>5947.0738857142851</v>
      </c>
      <c r="D228" s="280" t="s">
        <v>88</v>
      </c>
      <c r="E228" s="281">
        <f>F195</f>
        <v>6278.2195999999994</v>
      </c>
      <c r="F228" s="282">
        <f>F197</f>
        <v>5600</v>
      </c>
      <c r="G228" s="186"/>
    </row>
    <row r="229" spans="1:8" ht="12.95" customHeight="1" x14ac:dyDescent="0.2">
      <c r="A229" s="228">
        <v>210</v>
      </c>
      <c r="B229" s="218" t="s">
        <v>548</v>
      </c>
      <c r="C229" s="221">
        <f>F185</f>
        <v>6290.5282857142847</v>
      </c>
      <c r="D229" s="280" t="s">
        <v>88</v>
      </c>
      <c r="E229" s="281">
        <f>F184</f>
        <v>6621.6739999999991</v>
      </c>
      <c r="F229" s="282">
        <f>F186</f>
        <v>6000</v>
      </c>
      <c r="G229" s="186"/>
    </row>
    <row r="230" spans="1:8" ht="12.95" customHeight="1" x14ac:dyDescent="0.2">
      <c r="A230" s="228">
        <v>240</v>
      </c>
      <c r="B230" s="218" t="s">
        <v>548</v>
      </c>
      <c r="C230" s="221">
        <f>F174</f>
        <v>6609.1354857142851</v>
      </c>
      <c r="D230" s="280" t="s">
        <v>88</v>
      </c>
      <c r="E230" s="281">
        <f>F173</f>
        <v>6940.2811999999994</v>
      </c>
      <c r="F230" s="282">
        <f>F175</f>
        <v>6500</v>
      </c>
      <c r="G230" s="186"/>
    </row>
    <row r="231" spans="1:8" ht="12.95" customHeight="1" thickBot="1" x14ac:dyDescent="0.25">
      <c r="A231" s="283">
        <v>280</v>
      </c>
      <c r="B231" s="233" t="s">
        <v>548</v>
      </c>
      <c r="C231" s="284">
        <f>F163</f>
        <v>6983.3020857142856</v>
      </c>
      <c r="D231" s="285" t="s">
        <v>88</v>
      </c>
      <c r="E231" s="286">
        <f>F162</f>
        <v>7314.4477999999999</v>
      </c>
      <c r="F231" s="287">
        <f>F164</f>
        <v>9500</v>
      </c>
      <c r="G231" s="186"/>
    </row>
    <row r="232" spans="1:8" ht="12.95" customHeight="1" thickTop="1" x14ac:dyDescent="0.2">
      <c r="C232" s="132"/>
      <c r="D232" s="261"/>
      <c r="E232" s="185"/>
      <c r="F232" s="185"/>
      <c r="G232" s="186"/>
    </row>
    <row r="233" spans="1:8" ht="12.95" customHeight="1" x14ac:dyDescent="0.2">
      <c r="C233" s="132"/>
      <c r="D233" s="261"/>
      <c r="E233" s="185"/>
      <c r="F233" s="185"/>
      <c r="G233" s="186"/>
    </row>
    <row r="234" spans="1:8" ht="13.5" customHeight="1" x14ac:dyDescent="0.25">
      <c r="A234" s="154" t="s">
        <v>549</v>
      </c>
      <c r="B234" s="1722" t="s">
        <v>550</v>
      </c>
      <c r="C234" s="1722"/>
      <c r="D234" s="1722"/>
      <c r="E234" s="1722"/>
      <c r="F234" s="1722"/>
      <c r="G234" s="186"/>
    </row>
    <row r="235" spans="1:8" ht="12.95" customHeight="1" thickBot="1" x14ac:dyDescent="0.25">
      <c r="A235" s="248" t="s">
        <v>551</v>
      </c>
      <c r="B235" s="262" t="s">
        <v>552</v>
      </c>
    </row>
    <row r="236" spans="1:8" ht="12.95" customHeight="1" thickTop="1" x14ac:dyDescent="0.2">
      <c r="A236" s="159" t="s">
        <v>553</v>
      </c>
      <c r="B236" s="160" t="s">
        <v>287</v>
      </c>
      <c r="C236" s="92">
        <v>1.02</v>
      </c>
      <c r="D236" s="161" t="s">
        <v>88</v>
      </c>
      <c r="E236" s="92">
        <f>F112</f>
        <v>1336.76</v>
      </c>
      <c r="F236" s="94">
        <f>ROUND(C236*E236,2)</f>
        <v>1363.5</v>
      </c>
      <c r="G236" s="260"/>
    </row>
    <row r="237" spans="1:8" ht="12.95" customHeight="1" x14ac:dyDescent="0.2">
      <c r="A237" s="96" t="s">
        <v>554</v>
      </c>
      <c r="B237" s="162" t="s">
        <v>469</v>
      </c>
      <c r="C237" s="98">
        <v>9.4600000000000009</v>
      </c>
      <c r="D237" s="163" t="s">
        <v>503</v>
      </c>
      <c r="E237" s="98">
        <f>F68</f>
        <v>400.56270000000006</v>
      </c>
      <c r="F237" s="100">
        <f>ROUND(C237*E237,2)</f>
        <v>3789.32</v>
      </c>
      <c r="G237" s="260"/>
    </row>
    <row r="238" spans="1:8" ht="12.95" customHeight="1" x14ac:dyDescent="0.2">
      <c r="A238" s="96" t="s">
        <v>555</v>
      </c>
      <c r="B238" s="162" t="s">
        <v>273</v>
      </c>
      <c r="C238" s="98">
        <v>69.040000000000006</v>
      </c>
      <c r="D238" s="163" t="s">
        <v>473</v>
      </c>
      <c r="E238" s="98">
        <f>F13</f>
        <v>3</v>
      </c>
      <c r="F238" s="100">
        <f>ROUND(C238*E238,2)</f>
        <v>207.12</v>
      </c>
      <c r="G238" s="260"/>
    </row>
    <row r="239" spans="1:8" ht="12.95" customHeight="1" x14ac:dyDescent="0.2">
      <c r="A239" s="96" t="s">
        <v>556</v>
      </c>
      <c r="B239" s="162" t="s">
        <v>284</v>
      </c>
      <c r="C239" s="98">
        <v>3.0659999999999998</v>
      </c>
      <c r="D239" s="163" t="s">
        <v>503</v>
      </c>
      <c r="E239" s="98">
        <f>F16</f>
        <v>200</v>
      </c>
      <c r="F239" s="100">
        <f>ROUND(C239*E239,2)</f>
        <v>613.20000000000005</v>
      </c>
      <c r="G239" s="260"/>
    </row>
    <row r="240" spans="1:8" ht="12.95" customHeight="1" x14ac:dyDescent="0.2">
      <c r="A240" s="96" t="s">
        <v>557</v>
      </c>
      <c r="B240" s="162" t="s">
        <v>558</v>
      </c>
      <c r="C240" s="98">
        <v>0.5</v>
      </c>
      <c r="D240" s="163" t="s">
        <v>343</v>
      </c>
      <c r="E240" s="98">
        <f>F42</f>
        <v>659</v>
      </c>
      <c r="F240" s="100">
        <f>ROUND(C240*E240,2)</f>
        <v>329.5</v>
      </c>
      <c r="G240" s="260"/>
    </row>
    <row r="241" spans="1:10" ht="12.95" customHeight="1" x14ac:dyDescent="0.2">
      <c r="A241" s="96" t="s">
        <v>559</v>
      </c>
      <c r="B241" s="162" t="s">
        <v>560</v>
      </c>
      <c r="C241" s="98">
        <v>3</v>
      </c>
      <c r="D241" s="163" t="s">
        <v>234</v>
      </c>
      <c r="E241" s="98">
        <f>SUM(F236:F239)</f>
        <v>5973.1399999999994</v>
      </c>
      <c r="F241" s="100">
        <f>ROUND(C241*E241,2)/100</f>
        <v>179.1942</v>
      </c>
      <c r="G241" s="260"/>
    </row>
    <row r="242" spans="1:10" ht="12.95" customHeight="1" thickBot="1" x14ac:dyDescent="0.25">
      <c r="A242" s="142"/>
      <c r="B242" s="182" t="s">
        <v>561</v>
      </c>
      <c r="C242" s="146"/>
      <c r="D242" s="188"/>
      <c r="E242" s="236" t="s">
        <v>530</v>
      </c>
      <c r="F242" s="175">
        <f>SUM(F236:F241)</f>
        <v>6481.8341999999993</v>
      </c>
      <c r="G242" s="186"/>
    </row>
    <row r="243" spans="1:10" ht="12.95" customHeight="1" thickTop="1" x14ac:dyDescent="0.2">
      <c r="E243" s="288"/>
      <c r="F243" s="288"/>
      <c r="G243" s="289"/>
    </row>
    <row r="244" spans="1:10" ht="12.95" customHeight="1" thickBot="1" x14ac:dyDescent="0.25">
      <c r="A244" s="248" t="s">
        <v>562</v>
      </c>
      <c r="B244" s="262" t="s">
        <v>563</v>
      </c>
    </row>
    <row r="245" spans="1:10" ht="12.95" customHeight="1" thickTop="1" x14ac:dyDescent="0.2">
      <c r="A245" s="159" t="s">
        <v>564</v>
      </c>
      <c r="B245" s="160" t="s">
        <v>565</v>
      </c>
      <c r="C245" s="92">
        <v>0.998</v>
      </c>
      <c r="D245" s="249" t="s">
        <v>88</v>
      </c>
      <c r="E245" s="92">
        <f>F112</f>
        <v>1336.76</v>
      </c>
      <c r="F245" s="94">
        <f>ROUND(C245*E245,2)</f>
        <v>1334.09</v>
      </c>
      <c r="G245" s="260"/>
    </row>
    <row r="246" spans="1:10" ht="12.95" customHeight="1" x14ac:dyDescent="0.2">
      <c r="A246" s="96" t="s">
        <v>566</v>
      </c>
      <c r="B246" s="162" t="s">
        <v>273</v>
      </c>
      <c r="C246" s="98">
        <v>69.040000000000006</v>
      </c>
      <c r="D246" s="250" t="s">
        <v>473</v>
      </c>
      <c r="E246" s="98">
        <f>F13</f>
        <v>3</v>
      </c>
      <c r="F246" s="100">
        <f>ROUND(C246*E246,2)</f>
        <v>207.12</v>
      </c>
      <c r="G246" s="260"/>
    </row>
    <row r="247" spans="1:10" ht="12.95" customHeight="1" x14ac:dyDescent="0.2">
      <c r="A247" s="96" t="s">
        <v>567</v>
      </c>
      <c r="B247" s="162" t="s">
        <v>469</v>
      </c>
      <c r="C247" s="98">
        <v>11.51</v>
      </c>
      <c r="D247" s="250" t="s">
        <v>503</v>
      </c>
      <c r="E247" s="98">
        <f>F68</f>
        <v>400.56270000000006</v>
      </c>
      <c r="F247" s="100">
        <f>ROUND(C247*E247,2)</f>
        <v>4610.4799999999996</v>
      </c>
      <c r="G247" s="260"/>
    </row>
    <row r="248" spans="1:10" ht="12.95" customHeight="1" x14ac:dyDescent="0.2">
      <c r="A248" s="96" t="s">
        <v>568</v>
      </c>
      <c r="B248" s="162" t="s">
        <v>558</v>
      </c>
      <c r="C248" s="98">
        <v>0.5</v>
      </c>
      <c r="D248" s="250" t="s">
        <v>343</v>
      </c>
      <c r="E248" s="98">
        <f>F42</f>
        <v>659</v>
      </c>
      <c r="F248" s="100">
        <f>ROUND(C248*E248,2)</f>
        <v>329.5</v>
      </c>
      <c r="G248" s="260"/>
    </row>
    <row r="249" spans="1:10" ht="12.95" customHeight="1" x14ac:dyDescent="0.2">
      <c r="A249" s="96" t="s">
        <v>569</v>
      </c>
      <c r="B249" s="162" t="s">
        <v>560</v>
      </c>
      <c r="C249" s="98">
        <v>3</v>
      </c>
      <c r="D249" s="290" t="s">
        <v>234</v>
      </c>
      <c r="E249" s="98">
        <f>SUM(F245:F247)</f>
        <v>6151.69</v>
      </c>
      <c r="F249" s="100">
        <f>ROUND(C249*E249,2)/100</f>
        <v>184.55070000000001</v>
      </c>
      <c r="G249" s="260"/>
    </row>
    <row r="250" spans="1:10" ht="12.95" customHeight="1" thickBot="1" x14ac:dyDescent="0.25">
      <c r="A250" s="142"/>
      <c r="B250" s="182"/>
      <c r="C250" s="146"/>
      <c r="D250" s="188"/>
      <c r="E250" s="236" t="s">
        <v>530</v>
      </c>
      <c r="F250" s="175">
        <f>SUM(F245:F249)</f>
        <v>6665.7406999999994</v>
      </c>
      <c r="G250" s="186"/>
    </row>
    <row r="251" spans="1:10" ht="12.95" customHeight="1" thickTop="1" x14ac:dyDescent="0.2">
      <c r="C251" s="132"/>
      <c r="D251" s="261"/>
      <c r="E251" s="185"/>
      <c r="F251" s="185"/>
      <c r="G251" s="186"/>
    </row>
    <row r="252" spans="1:10" s="297" customFormat="1" ht="12.95" customHeight="1" thickBot="1" x14ac:dyDescent="0.25">
      <c r="A252" s="248" t="s">
        <v>570</v>
      </c>
      <c r="B252" s="291" t="s">
        <v>571</v>
      </c>
      <c r="C252" s="292"/>
      <c r="D252" s="293"/>
      <c r="E252" s="292"/>
      <c r="F252" s="292"/>
      <c r="G252" s="294"/>
      <c r="H252" s="294"/>
      <c r="I252" s="295"/>
      <c r="J252" s="296"/>
    </row>
    <row r="253" spans="1:10" s="297" customFormat="1" ht="12.95" customHeight="1" thickTop="1" x14ac:dyDescent="0.2">
      <c r="A253" s="298" t="s">
        <v>572</v>
      </c>
      <c r="B253" s="299" t="s">
        <v>573</v>
      </c>
      <c r="C253" s="300">
        <v>1.02</v>
      </c>
      <c r="D253" s="301" t="s">
        <v>88</v>
      </c>
      <c r="E253" s="302">
        <f>F112</f>
        <v>1336.76</v>
      </c>
      <c r="F253" s="94">
        <f>ROUND(C253*E253,2)</f>
        <v>1363.5</v>
      </c>
      <c r="G253" s="303"/>
      <c r="H253" s="303"/>
      <c r="I253" s="295"/>
      <c r="J253" s="296"/>
    </row>
    <row r="254" spans="1:10" s="297" customFormat="1" ht="12.95" customHeight="1" x14ac:dyDescent="0.2">
      <c r="A254" s="304" t="s">
        <v>574</v>
      </c>
      <c r="B254" s="305" t="s">
        <v>575</v>
      </c>
      <c r="C254" s="306">
        <v>100</v>
      </c>
      <c r="D254" s="307" t="s">
        <v>274</v>
      </c>
      <c r="E254" s="308">
        <f>+E246</f>
        <v>3</v>
      </c>
      <c r="F254" s="100">
        <f>ROUND(C254*E254,2)</f>
        <v>300</v>
      </c>
      <c r="G254" s="303"/>
      <c r="H254" s="303"/>
      <c r="I254" s="295"/>
      <c r="J254" s="296"/>
    </row>
    <row r="255" spans="1:10" s="297" customFormat="1" ht="12.95" customHeight="1" x14ac:dyDescent="0.2">
      <c r="A255" s="304" t="s">
        <v>576</v>
      </c>
      <c r="B255" s="305" t="s">
        <v>577</v>
      </c>
      <c r="C255" s="306">
        <v>3.06</v>
      </c>
      <c r="D255" s="307" t="s">
        <v>278</v>
      </c>
      <c r="E255" s="308">
        <f>E16</f>
        <v>200</v>
      </c>
      <c r="F255" s="100">
        <f>ROUND(C255*E255,2)</f>
        <v>612</v>
      </c>
      <c r="G255" s="303"/>
      <c r="H255" s="303"/>
      <c r="I255" s="295"/>
      <c r="J255" s="296"/>
    </row>
    <row r="256" spans="1:10" s="297" customFormat="1" ht="12.95" customHeight="1" x14ac:dyDescent="0.2">
      <c r="A256" s="304" t="s">
        <v>578</v>
      </c>
      <c r="B256" s="305" t="s">
        <v>538</v>
      </c>
      <c r="C256" s="306">
        <v>17.66</v>
      </c>
      <c r="D256" s="307" t="s">
        <v>278</v>
      </c>
      <c r="E256" s="308">
        <f>F68</f>
        <v>400.56270000000006</v>
      </c>
      <c r="F256" s="100">
        <f>ROUND(C256*E256,2)</f>
        <v>7073.94</v>
      </c>
      <c r="G256" s="303"/>
      <c r="H256" s="303"/>
      <c r="I256" s="295"/>
      <c r="J256" s="296"/>
    </row>
    <row r="257" spans="1:10" s="297" customFormat="1" ht="12.95" customHeight="1" x14ac:dyDescent="0.2">
      <c r="A257" s="304" t="s">
        <v>579</v>
      </c>
      <c r="B257" s="305" t="s">
        <v>580</v>
      </c>
      <c r="C257" s="306">
        <v>0.5</v>
      </c>
      <c r="D257" s="307" t="s">
        <v>343</v>
      </c>
      <c r="E257" s="98">
        <f>F42</f>
        <v>659</v>
      </c>
      <c r="F257" s="100">
        <f>ROUND(C257*E257,2)</f>
        <v>329.5</v>
      </c>
      <c r="G257" s="303"/>
      <c r="H257" s="309"/>
      <c r="I257" s="295"/>
      <c r="J257" s="296"/>
    </row>
    <row r="258" spans="1:10" s="297" customFormat="1" ht="12.95" customHeight="1" thickBot="1" x14ac:dyDescent="0.25">
      <c r="A258" s="310"/>
      <c r="B258" s="311"/>
      <c r="C258" s="312"/>
      <c r="D258" s="313"/>
      <c r="E258" s="236" t="s">
        <v>530</v>
      </c>
      <c r="F258" s="314">
        <f>SUM(F253:F257)</f>
        <v>9678.9399999999987</v>
      </c>
      <c r="G258" s="315"/>
      <c r="H258" s="316"/>
      <c r="I258" s="316"/>
      <c r="J258" s="296"/>
    </row>
    <row r="259" spans="1:10" s="297" customFormat="1" ht="12.95" customHeight="1" thickTop="1" x14ac:dyDescent="0.2">
      <c r="C259" s="292"/>
      <c r="D259" s="293"/>
      <c r="E259" s="185"/>
      <c r="F259" s="317"/>
      <c r="G259" s="315"/>
      <c r="H259" s="316"/>
      <c r="I259" s="316"/>
      <c r="J259" s="296"/>
    </row>
    <row r="260" spans="1:10" s="323" customFormat="1" ht="12.95" customHeight="1" thickBot="1" x14ac:dyDescent="0.25">
      <c r="A260" s="248" t="s">
        <v>581</v>
      </c>
      <c r="B260" s="291" t="s">
        <v>582</v>
      </c>
      <c r="C260" s="318"/>
      <c r="D260" s="319"/>
      <c r="E260" s="318"/>
      <c r="F260" s="318"/>
      <c r="G260" s="320"/>
      <c r="H260" s="320"/>
      <c r="I260" s="321"/>
      <c r="J260" s="322"/>
    </row>
    <row r="261" spans="1:10" s="297" customFormat="1" ht="12.95" customHeight="1" thickTop="1" x14ac:dyDescent="0.2">
      <c r="A261" s="298" t="s">
        <v>583</v>
      </c>
      <c r="B261" s="324" t="s">
        <v>584</v>
      </c>
      <c r="C261" s="300">
        <v>1.02</v>
      </c>
      <c r="D261" s="325" t="s">
        <v>88</v>
      </c>
      <c r="E261" s="302">
        <f>+F100</f>
        <v>1236.76</v>
      </c>
      <c r="F261" s="94">
        <f>ROUND(C261*E261,2)</f>
        <v>1261.5</v>
      </c>
      <c r="G261" s="326"/>
      <c r="H261" s="303"/>
      <c r="I261" s="295"/>
      <c r="J261" s="296"/>
    </row>
    <row r="262" spans="1:10" s="297" customFormat="1" ht="12.95" customHeight="1" x14ac:dyDescent="0.2">
      <c r="A262" s="304" t="s">
        <v>585</v>
      </c>
      <c r="B262" s="327" t="s">
        <v>586</v>
      </c>
      <c r="C262" s="306">
        <v>3.06</v>
      </c>
      <c r="D262" s="328" t="s">
        <v>278</v>
      </c>
      <c r="E262" s="308">
        <f>F16</f>
        <v>200</v>
      </c>
      <c r="F262" s="100">
        <f>ROUND(C262*E262,2)</f>
        <v>612</v>
      </c>
      <c r="G262" s="326"/>
      <c r="H262" s="303"/>
      <c r="I262" s="295"/>
      <c r="J262" s="296"/>
    </row>
    <row r="263" spans="1:10" s="297" customFormat="1" ht="12.95" customHeight="1" x14ac:dyDescent="0.2">
      <c r="A263" s="304" t="s">
        <v>587</v>
      </c>
      <c r="B263" s="329" t="s">
        <v>588</v>
      </c>
      <c r="C263" s="306">
        <v>0.5</v>
      </c>
      <c r="D263" s="328" t="s">
        <v>343</v>
      </c>
      <c r="E263" s="98">
        <f>F42</f>
        <v>659</v>
      </c>
      <c r="F263" s="100">
        <f>ROUND(C263*E263,2)</f>
        <v>329.5</v>
      </c>
      <c r="G263" s="326"/>
      <c r="H263" s="309"/>
      <c r="I263" s="295"/>
      <c r="J263" s="296"/>
    </row>
    <row r="264" spans="1:10" s="297" customFormat="1" ht="12.95" customHeight="1" thickBot="1" x14ac:dyDescent="0.25">
      <c r="A264" s="310"/>
      <c r="B264" s="330"/>
      <c r="C264" s="312"/>
      <c r="D264" s="331"/>
      <c r="E264" s="236" t="s">
        <v>530</v>
      </c>
      <c r="F264" s="314">
        <f>SUM(F261:F263)</f>
        <v>2203</v>
      </c>
      <c r="G264" s="315"/>
      <c r="H264" s="316"/>
      <c r="I264" s="316"/>
      <c r="J264" s="296"/>
    </row>
    <row r="265" spans="1:10" s="297" customFormat="1" ht="12.95" customHeight="1" thickTop="1" x14ac:dyDescent="0.25">
      <c r="C265" s="292"/>
      <c r="D265" s="293"/>
      <c r="E265" s="332"/>
      <c r="F265" s="333"/>
      <c r="G265" s="303"/>
      <c r="H265" s="316"/>
      <c r="I265" s="316"/>
      <c r="J265" s="296"/>
    </row>
    <row r="266" spans="1:10" s="323" customFormat="1" ht="12.95" customHeight="1" thickBot="1" x14ac:dyDescent="0.25">
      <c r="A266" s="248" t="s">
        <v>589</v>
      </c>
      <c r="B266" s="291" t="s">
        <v>590</v>
      </c>
      <c r="C266" s="318"/>
      <c r="D266" s="319"/>
      <c r="E266" s="318"/>
      <c r="F266" s="318"/>
      <c r="G266" s="320"/>
      <c r="H266" s="320"/>
      <c r="I266" s="321"/>
      <c r="J266" s="322"/>
    </row>
    <row r="267" spans="1:10" s="297" customFormat="1" ht="12.95" customHeight="1" thickTop="1" x14ac:dyDescent="0.25">
      <c r="A267" s="298" t="s">
        <v>591</v>
      </c>
      <c r="B267" s="324" t="s">
        <v>592</v>
      </c>
      <c r="C267" s="302">
        <v>1.2</v>
      </c>
      <c r="D267" s="325" t="s">
        <v>88</v>
      </c>
      <c r="E267" s="302">
        <f>+F264</f>
        <v>2203</v>
      </c>
      <c r="F267" s="334">
        <f>ROUND(C267*E267,2)</f>
        <v>2643.6</v>
      </c>
      <c r="G267" s="326"/>
      <c r="H267" s="303"/>
      <c r="I267" s="295"/>
      <c r="J267" s="296"/>
    </row>
    <row r="268" spans="1:10" s="297" customFormat="1" ht="12.95" customHeight="1" x14ac:dyDescent="0.25">
      <c r="A268" s="304" t="s">
        <v>593</v>
      </c>
      <c r="B268" s="329" t="s">
        <v>594</v>
      </c>
      <c r="C268" s="306">
        <v>5.24</v>
      </c>
      <c r="D268" s="328" t="s">
        <v>278</v>
      </c>
      <c r="E268" s="308">
        <f>+F68</f>
        <v>400.56270000000006</v>
      </c>
      <c r="F268" s="335">
        <f>ROUND(C268*E268,2)</f>
        <v>2098.9499999999998</v>
      </c>
      <c r="G268" s="326"/>
      <c r="H268" s="303"/>
      <c r="I268" s="295"/>
      <c r="J268" s="296"/>
    </row>
    <row r="269" spans="1:10" s="297" customFormat="1" ht="12.95" customHeight="1" x14ac:dyDescent="0.25">
      <c r="A269" s="304" t="s">
        <v>595</v>
      </c>
      <c r="B269" s="329" t="s">
        <v>596</v>
      </c>
      <c r="C269" s="306">
        <v>70</v>
      </c>
      <c r="D269" s="328" t="s">
        <v>274</v>
      </c>
      <c r="E269" s="308">
        <f>+F13</f>
        <v>3</v>
      </c>
      <c r="F269" s="335">
        <f>ROUND(C269*E269,2)</f>
        <v>210</v>
      </c>
      <c r="G269" s="326"/>
      <c r="H269" s="303"/>
      <c r="I269" s="295"/>
      <c r="J269" s="296"/>
    </row>
    <row r="270" spans="1:10" s="297" customFormat="1" ht="12.95" customHeight="1" x14ac:dyDescent="0.2">
      <c r="A270" s="304" t="s">
        <v>597</v>
      </c>
      <c r="B270" s="329" t="s">
        <v>588</v>
      </c>
      <c r="C270" s="306">
        <v>0.5</v>
      </c>
      <c r="D270" s="328" t="s">
        <v>343</v>
      </c>
      <c r="E270" s="98">
        <f>F42</f>
        <v>659</v>
      </c>
      <c r="F270" s="335">
        <f>ROUND(C270*E270,2)</f>
        <v>329.5</v>
      </c>
      <c r="G270" s="326"/>
      <c r="H270" s="309"/>
      <c r="I270" s="295"/>
      <c r="J270" s="296"/>
    </row>
    <row r="271" spans="1:10" s="297" customFormat="1" ht="12.95" customHeight="1" thickBot="1" x14ac:dyDescent="0.25">
      <c r="A271" s="310"/>
      <c r="B271" s="330"/>
      <c r="C271" s="336"/>
      <c r="D271" s="331"/>
      <c r="E271" s="236" t="s">
        <v>530</v>
      </c>
      <c r="F271" s="314">
        <f>SUM(F267:F270)</f>
        <v>5282.0499999999993</v>
      </c>
      <c r="G271" s="315"/>
      <c r="H271" s="316"/>
      <c r="I271" s="316"/>
      <c r="J271" s="296"/>
    </row>
    <row r="272" spans="1:10" s="297" customFormat="1" ht="12.95" customHeight="1" thickTop="1" x14ac:dyDescent="0.2">
      <c r="B272" s="337"/>
      <c r="C272" s="332"/>
      <c r="D272" s="338"/>
      <c r="E272" s="185"/>
      <c r="F272" s="317"/>
      <c r="G272" s="315"/>
      <c r="H272" s="316"/>
      <c r="I272" s="316"/>
      <c r="J272" s="296"/>
    </row>
    <row r="273" spans="1:10" s="345" customFormat="1" ht="12.95" customHeight="1" thickBot="1" x14ac:dyDescent="0.25">
      <c r="A273" s="248" t="s">
        <v>598</v>
      </c>
      <c r="B273" s="339" t="s">
        <v>599</v>
      </c>
      <c r="C273" s="340"/>
      <c r="D273" s="341"/>
      <c r="E273" s="340"/>
      <c r="F273" s="340"/>
      <c r="G273" s="342"/>
      <c r="H273" s="343"/>
      <c r="I273" s="344"/>
    </row>
    <row r="274" spans="1:10" s="345" customFormat="1" ht="12.95" customHeight="1" thickTop="1" x14ac:dyDescent="0.25">
      <c r="A274" s="346" t="s">
        <v>600</v>
      </c>
      <c r="B274" s="347" t="s">
        <v>601</v>
      </c>
      <c r="C274" s="348">
        <v>2.6000000000000002E-2</v>
      </c>
      <c r="D274" s="349" t="s">
        <v>88</v>
      </c>
      <c r="E274" s="350">
        <f>+$F$242</f>
        <v>6481.8341999999993</v>
      </c>
      <c r="F274" s="351">
        <f>ROUND(C274*E274,2)</f>
        <v>168.53</v>
      </c>
      <c r="G274" s="352"/>
      <c r="H274" s="343"/>
      <c r="I274" s="344"/>
    </row>
    <row r="275" spans="1:10" s="345" customFormat="1" ht="12.95" customHeight="1" x14ac:dyDescent="0.25">
      <c r="A275" s="353" t="s">
        <v>602</v>
      </c>
      <c r="B275" s="354" t="s">
        <v>603</v>
      </c>
      <c r="C275" s="355">
        <v>3.3299999999999996E-2</v>
      </c>
      <c r="D275" s="356" t="s">
        <v>172</v>
      </c>
      <c r="E275" s="357">
        <f>F28</f>
        <v>45</v>
      </c>
      <c r="F275" s="358">
        <f>ROUND(C275*E275,2)</f>
        <v>1.5</v>
      </c>
      <c r="G275" s="352"/>
      <c r="H275" s="343"/>
      <c r="I275" s="344"/>
    </row>
    <row r="276" spans="1:10" ht="12.95" customHeight="1" x14ac:dyDescent="0.2">
      <c r="A276" s="353" t="s">
        <v>604</v>
      </c>
      <c r="B276" s="359" t="s">
        <v>605</v>
      </c>
      <c r="C276" s="355">
        <v>1</v>
      </c>
      <c r="D276" s="356" t="s">
        <v>155</v>
      </c>
      <c r="E276" s="357">
        <v>5</v>
      </c>
      <c r="F276" s="358">
        <f>ROUND(C276*E276,2)</f>
        <v>5</v>
      </c>
      <c r="G276" s="260"/>
    </row>
    <row r="277" spans="1:10" s="345" customFormat="1" ht="12.95" customHeight="1" x14ac:dyDescent="0.25">
      <c r="A277" s="353" t="s">
        <v>606</v>
      </c>
      <c r="B277" s="354" t="s">
        <v>607</v>
      </c>
      <c r="C277" s="357">
        <v>1</v>
      </c>
      <c r="D277" s="356" t="s">
        <v>124</v>
      </c>
      <c r="E277" s="357">
        <f>'[29]LIST.  M.O.'!F32</f>
        <v>89.818181818181813</v>
      </c>
      <c r="F277" s="358">
        <f>ROUND(C277*E277,2)</f>
        <v>89.82</v>
      </c>
      <c r="G277" s="360"/>
      <c r="H277" s="343">
        <v>30</v>
      </c>
      <c r="I277" s="344"/>
    </row>
    <row r="278" spans="1:10" s="345" customFormat="1" ht="12.95" customHeight="1" thickBot="1" x14ac:dyDescent="0.25">
      <c r="A278" s="361"/>
      <c r="B278" s="362"/>
      <c r="C278" s="363"/>
      <c r="D278" s="364"/>
      <c r="E278" s="236" t="s">
        <v>530</v>
      </c>
      <c r="F278" s="365">
        <f>SUM(F274:F277)</f>
        <v>264.85000000000002</v>
      </c>
      <c r="G278" s="360"/>
      <c r="H278" s="343"/>
      <c r="I278" s="344"/>
    </row>
    <row r="279" spans="1:10" s="345" customFormat="1" ht="12.95" customHeight="1" thickTop="1" x14ac:dyDescent="0.25">
      <c r="C279" s="340"/>
      <c r="D279" s="341"/>
      <c r="E279" s="366"/>
      <c r="F279" s="367"/>
      <c r="G279" s="360"/>
      <c r="H279" s="343"/>
      <c r="I279" s="344"/>
    </row>
    <row r="280" spans="1:10" s="130" customFormat="1" ht="12.95" customHeight="1" thickBot="1" x14ac:dyDescent="0.25">
      <c r="A280" s="248" t="s">
        <v>608</v>
      </c>
      <c r="B280" s="148" t="s">
        <v>609</v>
      </c>
      <c r="C280" s="368"/>
      <c r="D280" s="261"/>
      <c r="E280" s="132"/>
      <c r="F280" s="132"/>
      <c r="G280" s="260"/>
      <c r="H280" s="260"/>
      <c r="I280" s="260"/>
      <c r="J280" s="369"/>
    </row>
    <row r="281" spans="1:10" ht="12.95" customHeight="1" thickTop="1" x14ac:dyDescent="0.2">
      <c r="A281" s="159" t="s">
        <v>610</v>
      </c>
      <c r="B281" s="347" t="s">
        <v>611</v>
      </c>
      <c r="C281" s="370">
        <v>2.2499999999999998E-3</v>
      </c>
      <c r="D281" s="349" t="s">
        <v>88</v>
      </c>
      <c r="E281" s="350">
        <f>+$F$242</f>
        <v>6481.8341999999993</v>
      </c>
      <c r="F281" s="351">
        <f>ROUND(C281*E281,2)</f>
        <v>14.58</v>
      </c>
      <c r="G281" s="260"/>
    </row>
    <row r="282" spans="1:10" ht="12.95" customHeight="1" x14ac:dyDescent="0.2">
      <c r="A282" s="96" t="s">
        <v>612</v>
      </c>
      <c r="B282" s="354" t="s">
        <v>603</v>
      </c>
      <c r="C282" s="371">
        <v>3.3299999999999996E-2</v>
      </c>
      <c r="D282" s="356" t="s">
        <v>172</v>
      </c>
      <c r="E282" s="357">
        <f>F28</f>
        <v>45</v>
      </c>
      <c r="F282" s="358">
        <f>ROUND(C282*E282,2)</f>
        <v>1.5</v>
      </c>
      <c r="G282" s="260"/>
    </row>
    <row r="283" spans="1:10" ht="12.95" customHeight="1" x14ac:dyDescent="0.2">
      <c r="A283" s="96" t="s">
        <v>613</v>
      </c>
      <c r="B283" s="354" t="s">
        <v>614</v>
      </c>
      <c r="C283" s="357">
        <v>1</v>
      </c>
      <c r="D283" s="356" t="s">
        <v>124</v>
      </c>
      <c r="E283" s="357">
        <f>'[29]LIST.  M.O.'!F38</f>
        <v>22.724637681159422</v>
      </c>
      <c r="F283" s="358">
        <f>ROUND(C283*E283,2)</f>
        <v>22.72</v>
      </c>
      <c r="G283" s="260"/>
    </row>
    <row r="284" spans="1:10" ht="12.95" customHeight="1" x14ac:dyDescent="0.2">
      <c r="A284" s="96" t="s">
        <v>615</v>
      </c>
      <c r="B284" s="162" t="s">
        <v>616</v>
      </c>
      <c r="C284" s="98">
        <v>1</v>
      </c>
      <c r="D284" s="250" t="s">
        <v>155</v>
      </c>
      <c r="E284" s="372">
        <v>5</v>
      </c>
      <c r="F284" s="358">
        <f>ROUND(C284*E284,2)</f>
        <v>5</v>
      </c>
      <c r="G284" s="260"/>
    </row>
    <row r="285" spans="1:10" ht="12.95" customHeight="1" thickBot="1" x14ac:dyDescent="0.25">
      <c r="A285" s="142"/>
      <c r="B285" s="362"/>
      <c r="C285" s="363"/>
      <c r="D285" s="364"/>
      <c r="E285" s="236" t="s">
        <v>530</v>
      </c>
      <c r="F285" s="365">
        <f>SUM(F281:F284)</f>
        <v>43.8</v>
      </c>
      <c r="G285" s="186"/>
    </row>
    <row r="286" spans="1:10" ht="12.95" customHeight="1" thickTop="1" x14ac:dyDescent="0.2">
      <c r="C286" s="132"/>
      <c r="D286" s="261"/>
      <c r="E286" s="185"/>
      <c r="F286" s="185"/>
      <c r="G286" s="186"/>
    </row>
    <row r="287" spans="1:10" ht="12.95" customHeight="1" thickBot="1" x14ac:dyDescent="0.25">
      <c r="A287" s="248" t="s">
        <v>617</v>
      </c>
      <c r="B287" s="373" t="s">
        <v>618</v>
      </c>
      <c r="C287" s="374"/>
      <c r="D287" s="375"/>
      <c r="E287" s="374"/>
      <c r="F287" s="374"/>
      <c r="G287" s="186"/>
    </row>
    <row r="288" spans="1:10" ht="12.95" customHeight="1" thickTop="1" x14ac:dyDescent="0.2">
      <c r="A288" s="159" t="s">
        <v>619</v>
      </c>
      <c r="B288" s="376" t="s">
        <v>620</v>
      </c>
      <c r="C288" s="377">
        <v>1.9499999999999999E-3</v>
      </c>
      <c r="D288" s="378" t="s">
        <v>88</v>
      </c>
      <c r="E288" s="379">
        <f>F242</f>
        <v>6481.8341999999993</v>
      </c>
      <c r="F288" s="268">
        <f>ROUND(C288*E288,2)</f>
        <v>12.64</v>
      </c>
      <c r="G288" s="186"/>
    </row>
    <row r="289" spans="1:10" ht="12.95" customHeight="1" x14ac:dyDescent="0.2">
      <c r="A289" s="96" t="s">
        <v>621</v>
      </c>
      <c r="B289" s="380" t="s">
        <v>622</v>
      </c>
      <c r="C289" s="381">
        <v>3.3300000000000003E-2</v>
      </c>
      <c r="D289" s="382" t="s">
        <v>172</v>
      </c>
      <c r="E289" s="383">
        <v>35</v>
      </c>
      <c r="F289" s="270">
        <f>ROUND(C289*E289,2)</f>
        <v>1.17</v>
      </c>
      <c r="G289" s="186"/>
    </row>
    <row r="290" spans="1:10" ht="12.95" customHeight="1" x14ac:dyDescent="0.2">
      <c r="A290" s="96" t="s">
        <v>623</v>
      </c>
      <c r="B290" s="380" t="s">
        <v>624</v>
      </c>
      <c r="C290" s="384">
        <v>1</v>
      </c>
      <c r="D290" s="382" t="s">
        <v>124</v>
      </c>
      <c r="E290" s="383">
        <f>'[29]LIST.  M.O.'!F44</f>
        <v>34.068965517241381</v>
      </c>
      <c r="F290" s="270">
        <f>ROUND(C290*E290,2)</f>
        <v>34.07</v>
      </c>
      <c r="G290" s="186"/>
    </row>
    <row r="291" spans="1:10" ht="12.95" customHeight="1" thickBot="1" x14ac:dyDescent="0.25">
      <c r="A291" s="142"/>
      <c r="B291" s="385"/>
      <c r="C291" s="386"/>
      <c r="D291" s="387"/>
      <c r="E291" s="388" t="s">
        <v>124</v>
      </c>
      <c r="F291" s="389">
        <f>SUM(F288:F290)</f>
        <v>47.88</v>
      </c>
      <c r="G291" s="186"/>
    </row>
    <row r="292" spans="1:10" ht="12.95" customHeight="1" thickTop="1" x14ac:dyDescent="0.2">
      <c r="C292" s="260"/>
      <c r="D292" s="390"/>
      <c r="E292" s="186"/>
      <c r="F292" s="186"/>
      <c r="G292" s="186"/>
    </row>
    <row r="293" spans="1:10" ht="12.95" customHeight="1" thickBot="1" x14ac:dyDescent="0.25">
      <c r="A293" s="248" t="s">
        <v>625</v>
      </c>
      <c r="B293" s="391" t="s">
        <v>626</v>
      </c>
      <c r="C293" s="392"/>
      <c r="D293" s="392"/>
      <c r="E293" s="392"/>
      <c r="F293" s="392"/>
      <c r="G293" s="186"/>
    </row>
    <row r="294" spans="1:10" ht="12.95" customHeight="1" thickTop="1" x14ac:dyDescent="0.2">
      <c r="A294" s="159" t="s">
        <v>627</v>
      </c>
      <c r="B294" s="393" t="s">
        <v>628</v>
      </c>
      <c r="C294" s="394">
        <v>1.9499999999999999E-3</v>
      </c>
      <c r="D294" s="395" t="s">
        <v>88</v>
      </c>
      <c r="E294" s="396">
        <f>F242</f>
        <v>6481.8341999999993</v>
      </c>
      <c r="F294" s="268">
        <f>ROUND(C294*E294,2)</f>
        <v>12.64</v>
      </c>
      <c r="G294" s="186"/>
    </row>
    <row r="295" spans="1:10" ht="12.95" customHeight="1" x14ac:dyDescent="0.2">
      <c r="A295" s="96" t="s">
        <v>629</v>
      </c>
      <c r="B295" s="380" t="s">
        <v>630</v>
      </c>
      <c r="C295" s="397">
        <v>1</v>
      </c>
      <c r="D295" s="398" t="s">
        <v>124</v>
      </c>
      <c r="E295" s="399">
        <f>'[29]LIST.  M.O.'!F50</f>
        <v>35.927272727272729</v>
      </c>
      <c r="F295" s="270">
        <f>ROUND(C295*E295,2)</f>
        <v>35.93</v>
      </c>
    </row>
    <row r="296" spans="1:10" ht="12.95" customHeight="1" thickBot="1" x14ac:dyDescent="0.25">
      <c r="A296" s="142"/>
      <c r="B296" s="400"/>
      <c r="C296" s="401"/>
      <c r="D296" s="402"/>
      <c r="E296" s="403" t="s">
        <v>631</v>
      </c>
      <c r="F296" s="404">
        <f>SUM(F294:F295)</f>
        <v>48.57</v>
      </c>
      <c r="G296" s="260"/>
    </row>
    <row r="297" spans="1:10" ht="12.95" customHeight="1" thickTop="1" x14ac:dyDescent="0.2">
      <c r="C297" s="132"/>
      <c r="D297" s="261"/>
      <c r="E297" s="185"/>
      <c r="F297" s="185"/>
      <c r="G297" s="260"/>
    </row>
    <row r="298" spans="1:10" ht="12.95" customHeight="1" thickBot="1" x14ac:dyDescent="0.25">
      <c r="A298" s="248" t="s">
        <v>632</v>
      </c>
      <c r="B298" s="405" t="s">
        <v>633</v>
      </c>
      <c r="C298" s="406">
        <v>0.15</v>
      </c>
      <c r="D298" s="407" t="s">
        <v>634</v>
      </c>
      <c r="E298" s="406">
        <v>0.15</v>
      </c>
      <c r="F298" s="392"/>
      <c r="G298" s="260"/>
    </row>
    <row r="299" spans="1:10" ht="12.95" customHeight="1" thickTop="1" x14ac:dyDescent="0.2">
      <c r="A299" s="159" t="s">
        <v>635</v>
      </c>
      <c r="B299" s="408" t="s">
        <v>636</v>
      </c>
      <c r="C299" s="408">
        <v>1.05</v>
      </c>
      <c r="D299" s="409" t="s">
        <v>88</v>
      </c>
      <c r="E299" s="410">
        <f>F195</f>
        <v>6278.2195999999994</v>
      </c>
      <c r="F299" s="268">
        <f>ROUND(C299*E299,2)</f>
        <v>6592.13</v>
      </c>
      <c r="G299" s="260"/>
      <c r="H299" s="260"/>
      <c r="I299" s="260"/>
      <c r="J299" s="369"/>
    </row>
    <row r="300" spans="1:10" ht="12.95" customHeight="1" x14ac:dyDescent="0.2">
      <c r="A300" s="96" t="s">
        <v>637</v>
      </c>
      <c r="B300" s="380" t="s">
        <v>638</v>
      </c>
      <c r="C300" s="66">
        <f>1/((C298*E298)/2)</f>
        <v>88.888888888888886</v>
      </c>
      <c r="D300" s="411" t="s">
        <v>41</v>
      </c>
      <c r="E300" s="412">
        <f>'[29]LIST.  M.O.'!F56</f>
        <v>65.86666666666666</v>
      </c>
      <c r="F300" s="270">
        <f>ROUND(C300*E300,2)</f>
        <v>5854.81</v>
      </c>
      <c r="G300" s="260"/>
      <c r="H300" s="260"/>
      <c r="I300" s="413"/>
      <c r="J300" s="369"/>
    </row>
    <row r="301" spans="1:10" ht="12.95" customHeight="1" thickBot="1" x14ac:dyDescent="0.25">
      <c r="A301" s="414"/>
      <c r="B301" s="415"/>
      <c r="C301" s="415"/>
      <c r="D301" s="1729" t="s">
        <v>639</v>
      </c>
      <c r="E301" s="1729"/>
      <c r="F301" s="416">
        <f>SUM(F299:F300)</f>
        <v>12446.94</v>
      </c>
      <c r="G301" s="260"/>
      <c r="H301" s="260"/>
      <c r="I301" s="260"/>
      <c r="J301" s="369"/>
    </row>
    <row r="302" spans="1:10" ht="12.95" customHeight="1" thickTop="1" x14ac:dyDescent="0.2">
      <c r="A302" s="134"/>
      <c r="B302" s="408"/>
      <c r="C302" s="417"/>
      <c r="D302" s="417"/>
      <c r="E302" s="418" t="s">
        <v>640</v>
      </c>
      <c r="F302" s="419">
        <f>F301*((C298*E298)/2)</f>
        <v>140.028075</v>
      </c>
      <c r="G302" s="260"/>
      <c r="H302" s="260"/>
      <c r="I302" s="260"/>
      <c r="J302" s="420"/>
    </row>
    <row r="303" spans="1:10" ht="12.95" customHeight="1" thickBot="1" x14ac:dyDescent="0.25">
      <c r="A303" s="142"/>
      <c r="B303" s="421"/>
      <c r="C303" s="146"/>
      <c r="D303" s="422"/>
      <c r="E303" s="423" t="s">
        <v>641</v>
      </c>
      <c r="F303" s="424">
        <f>((F301-F300)+(C300*((E300*30)/45)))*((C298*E298)/2)</f>
        <v>118.07257361111111</v>
      </c>
      <c r="G303" s="260"/>
    </row>
    <row r="304" spans="1:10" ht="12.95" customHeight="1" thickTop="1" x14ac:dyDescent="0.2">
      <c r="C304" s="132"/>
      <c r="D304" s="261"/>
      <c r="E304" s="185"/>
      <c r="F304" s="185"/>
      <c r="G304" s="260"/>
    </row>
    <row r="305" spans="1:9" ht="12.95" customHeight="1" x14ac:dyDescent="0.2">
      <c r="C305" s="132"/>
      <c r="D305" s="261"/>
      <c r="E305" s="185"/>
      <c r="F305" s="185"/>
      <c r="G305" s="260"/>
    </row>
    <row r="306" spans="1:9" ht="12.95" customHeight="1" thickBot="1" x14ac:dyDescent="0.25">
      <c r="B306" s="262" t="s">
        <v>168</v>
      </c>
      <c r="G306" s="260"/>
    </row>
    <row r="307" spans="1:9" ht="12.95" customHeight="1" thickTop="1" x14ac:dyDescent="0.2">
      <c r="A307" s="134"/>
      <c r="B307" s="160" t="s">
        <v>642</v>
      </c>
      <c r="C307" s="425">
        <v>2.5999999999999999E-2</v>
      </c>
      <c r="D307" s="249" t="s">
        <v>88</v>
      </c>
      <c r="E307" s="92">
        <f>SUM($F$242)</f>
        <v>6481.8341999999993</v>
      </c>
      <c r="F307" s="268">
        <f>ROUND(C307*E307,2)</f>
        <v>168.53</v>
      </c>
      <c r="G307" s="260"/>
    </row>
    <row r="308" spans="1:9" ht="12.95" customHeight="1" x14ac:dyDescent="0.2">
      <c r="A308" s="126"/>
      <c r="B308" s="162" t="s">
        <v>643</v>
      </c>
      <c r="C308" s="98">
        <v>0.33</v>
      </c>
      <c r="D308" s="250" t="s">
        <v>172</v>
      </c>
      <c r="E308" s="98">
        <f>F28</f>
        <v>45</v>
      </c>
      <c r="F308" s="270">
        <f>ROUND(C308*E308,2)</f>
        <v>14.85</v>
      </c>
      <c r="G308" s="186"/>
    </row>
    <row r="309" spans="1:9" ht="12.95" customHeight="1" x14ac:dyDescent="0.2">
      <c r="A309" s="126"/>
      <c r="B309" s="162" t="s">
        <v>616</v>
      </c>
      <c r="C309" s="98">
        <v>1</v>
      </c>
      <c r="D309" s="250" t="s">
        <v>155</v>
      </c>
      <c r="E309" s="372">
        <v>5</v>
      </c>
      <c r="F309" s="270">
        <f>ROUND(C309*E309,2)</f>
        <v>5</v>
      </c>
      <c r="G309" s="186"/>
    </row>
    <row r="310" spans="1:9" ht="12.95" customHeight="1" x14ac:dyDescent="0.2">
      <c r="A310" s="126"/>
      <c r="B310" s="162" t="s">
        <v>644</v>
      </c>
      <c r="C310" s="98">
        <v>1</v>
      </c>
      <c r="D310" s="250" t="s">
        <v>124</v>
      </c>
      <c r="E310" s="98">
        <f>'[29]LIST.  M.O.'!F70</f>
        <v>192.59090909090909</v>
      </c>
      <c r="F310" s="270">
        <f>ROUND(C310*E310,2)</f>
        <v>192.59</v>
      </c>
      <c r="H310" s="66">
        <v>22</v>
      </c>
    </row>
    <row r="311" spans="1:9" ht="12.95" customHeight="1" thickBot="1" x14ac:dyDescent="0.25">
      <c r="A311" s="142"/>
      <c r="B311" s="182"/>
      <c r="C311" s="146"/>
      <c r="D311" s="188"/>
      <c r="E311" s="236" t="s">
        <v>530</v>
      </c>
      <c r="F311" s="175">
        <f>SUM(F307:F310)</f>
        <v>380.97</v>
      </c>
      <c r="G311" s="260"/>
    </row>
    <row r="312" spans="1:9" ht="12.95" customHeight="1" thickTop="1" x14ac:dyDescent="0.2">
      <c r="C312" s="132"/>
      <c r="D312" s="261"/>
      <c r="E312" s="185"/>
      <c r="F312" s="185"/>
      <c r="G312" s="260"/>
      <c r="I312" s="426"/>
    </row>
    <row r="313" spans="1:9" ht="12.95" customHeight="1" thickBot="1" x14ac:dyDescent="0.25">
      <c r="B313" s="196" t="s">
        <v>645</v>
      </c>
      <c r="G313" s="260"/>
    </row>
    <row r="314" spans="1:9" ht="12.95" customHeight="1" thickTop="1" x14ac:dyDescent="0.2">
      <c r="A314" s="134"/>
      <c r="B314" s="160" t="s">
        <v>646</v>
      </c>
      <c r="C314" s="425">
        <v>2.5999999999999999E-2</v>
      </c>
      <c r="D314" s="249" t="s">
        <v>88</v>
      </c>
      <c r="E314" s="92">
        <f>SUM($F$242)</f>
        <v>6481.8341999999993</v>
      </c>
      <c r="F314" s="268">
        <f>ROUND(C314*E314,2)</f>
        <v>168.53</v>
      </c>
      <c r="G314" s="260"/>
    </row>
    <row r="315" spans="1:9" ht="12.95" customHeight="1" x14ac:dyDescent="0.2">
      <c r="A315" s="126"/>
      <c r="B315" s="162" t="s">
        <v>643</v>
      </c>
      <c r="C315" s="98">
        <v>0.33</v>
      </c>
      <c r="D315" s="250" t="s">
        <v>172</v>
      </c>
      <c r="E315" s="98">
        <f>F28</f>
        <v>45</v>
      </c>
      <c r="F315" s="270">
        <f>ROUND(C315*E315,2)</f>
        <v>14.85</v>
      </c>
      <c r="G315" s="260"/>
    </row>
    <row r="316" spans="1:9" ht="12.95" customHeight="1" x14ac:dyDescent="0.2">
      <c r="A316" s="126"/>
      <c r="B316" s="162" t="s">
        <v>616</v>
      </c>
      <c r="C316" s="98">
        <v>1</v>
      </c>
      <c r="D316" s="250" t="s">
        <v>155</v>
      </c>
      <c r="E316" s="427">
        <v>5</v>
      </c>
      <c r="F316" s="270">
        <f>ROUND(C316*E316,2)</f>
        <v>5</v>
      </c>
      <c r="G316" s="186"/>
      <c r="H316" s="66">
        <v>28</v>
      </c>
    </row>
    <row r="317" spans="1:9" ht="12.95" customHeight="1" x14ac:dyDescent="0.2">
      <c r="A317" s="126"/>
      <c r="B317" s="162" t="s">
        <v>647</v>
      </c>
      <c r="C317" s="98">
        <v>1</v>
      </c>
      <c r="D317" s="250" t="s">
        <v>124</v>
      </c>
      <c r="E317" s="98">
        <f>'[29]LIST.  M.O.'!F78</f>
        <v>151.32142857142858</v>
      </c>
      <c r="F317" s="270">
        <f>ROUND(C317*E317,2)</f>
        <v>151.32</v>
      </c>
      <c r="G317" s="186"/>
    </row>
    <row r="318" spans="1:9" ht="12.95" customHeight="1" thickBot="1" x14ac:dyDescent="0.25">
      <c r="A318" s="142"/>
      <c r="B318" s="182"/>
      <c r="C318" s="146"/>
      <c r="D318" s="188"/>
      <c r="E318" s="236" t="s">
        <v>530</v>
      </c>
      <c r="F318" s="175">
        <f>SUM(F314:F317)</f>
        <v>339.7</v>
      </c>
    </row>
    <row r="319" spans="1:9" ht="12.95" customHeight="1" thickTop="1" x14ac:dyDescent="0.2">
      <c r="B319" s="196"/>
      <c r="C319" s="428"/>
      <c r="D319" s="261"/>
      <c r="E319" s="185"/>
      <c r="F319" s="185"/>
      <c r="G319" s="260"/>
    </row>
    <row r="320" spans="1:9" ht="12.95" customHeight="1" thickBot="1" x14ac:dyDescent="0.25">
      <c r="B320" s="196" t="s">
        <v>648</v>
      </c>
      <c r="G320" s="260"/>
    </row>
    <row r="321" spans="1:7" ht="12.95" customHeight="1" thickTop="1" x14ac:dyDescent="0.2">
      <c r="A321" s="134"/>
      <c r="B321" s="160" t="s">
        <v>646</v>
      </c>
      <c r="C321" s="425">
        <v>2.5999999999999999E-2</v>
      </c>
      <c r="D321" s="249" t="s">
        <v>88</v>
      </c>
      <c r="E321" s="92">
        <f>SUM($F$242)</f>
        <v>6481.8341999999993</v>
      </c>
      <c r="F321" s="268">
        <f>ROUND(C321*E321,2)</f>
        <v>168.53</v>
      </c>
      <c r="G321" s="260"/>
    </row>
    <row r="322" spans="1:7" ht="12.95" customHeight="1" x14ac:dyDescent="0.2">
      <c r="A322" s="126"/>
      <c r="B322" s="162" t="s">
        <v>643</v>
      </c>
      <c r="C322" s="98">
        <v>0.33</v>
      </c>
      <c r="D322" s="250" t="s">
        <v>172</v>
      </c>
      <c r="E322" s="98">
        <f>F28</f>
        <v>45</v>
      </c>
      <c r="F322" s="270">
        <f>ROUND(C322*E322,2)</f>
        <v>14.85</v>
      </c>
      <c r="G322" s="260"/>
    </row>
    <row r="323" spans="1:7" ht="12.95" customHeight="1" x14ac:dyDescent="0.2">
      <c r="A323" s="126"/>
      <c r="B323" s="162" t="s">
        <v>616</v>
      </c>
      <c r="C323" s="98">
        <v>1</v>
      </c>
      <c r="D323" s="250" t="s">
        <v>155</v>
      </c>
      <c r="E323" s="372">
        <v>5</v>
      </c>
      <c r="F323" s="270">
        <f>ROUND(C323*E323,2)</f>
        <v>5</v>
      </c>
      <c r="G323" s="260"/>
    </row>
    <row r="324" spans="1:7" ht="12.95" customHeight="1" x14ac:dyDescent="0.2">
      <c r="A324" s="126"/>
      <c r="B324" s="162" t="s">
        <v>649</v>
      </c>
      <c r="C324" s="429">
        <v>5.2999999999999999E-2</v>
      </c>
      <c r="D324" s="250" t="s">
        <v>278</v>
      </c>
      <c r="E324" s="98">
        <f>F14</f>
        <v>395</v>
      </c>
      <c r="F324" s="270">
        <f>ROUND(C324*E324,2)</f>
        <v>20.94</v>
      </c>
      <c r="G324" s="186"/>
    </row>
    <row r="325" spans="1:7" ht="12.95" customHeight="1" x14ac:dyDescent="0.2">
      <c r="A325" s="126"/>
      <c r="B325" s="162" t="s">
        <v>650</v>
      </c>
      <c r="C325" s="98">
        <v>1</v>
      </c>
      <c r="D325" s="250" t="s">
        <v>124</v>
      </c>
      <c r="E325" s="98">
        <f>'[29]LIST.  M.O.'!F85</f>
        <v>165.10526315789474</v>
      </c>
      <c r="F325" s="270">
        <f>ROUND(C325*E325,2)</f>
        <v>165.11</v>
      </c>
      <c r="G325" s="186"/>
    </row>
    <row r="326" spans="1:7" ht="12.95" customHeight="1" thickBot="1" x14ac:dyDescent="0.25">
      <c r="A326" s="142"/>
      <c r="B326" s="182"/>
      <c r="C326" s="146"/>
      <c r="D326" s="188"/>
      <c r="E326" s="236" t="s">
        <v>530</v>
      </c>
      <c r="F326" s="175">
        <f>SUM(F321:F325)</f>
        <v>374.43</v>
      </c>
    </row>
    <row r="327" spans="1:7" ht="12.95" customHeight="1" thickTop="1" x14ac:dyDescent="0.2">
      <c r="B327" s="196"/>
      <c r="C327" s="428"/>
      <c r="D327" s="261"/>
      <c r="E327" s="185"/>
      <c r="F327" s="185"/>
      <c r="G327" s="260"/>
    </row>
    <row r="328" spans="1:7" ht="12.95" customHeight="1" thickBot="1" x14ac:dyDescent="0.25">
      <c r="B328" s="196" t="s">
        <v>651</v>
      </c>
      <c r="G328" s="260"/>
    </row>
    <row r="329" spans="1:7" ht="12.95" customHeight="1" thickTop="1" x14ac:dyDescent="0.2">
      <c r="A329" s="134"/>
      <c r="B329" s="160" t="s">
        <v>646</v>
      </c>
      <c r="C329" s="425">
        <v>2.5999999999999999E-2</v>
      </c>
      <c r="D329" s="249" t="s">
        <v>88</v>
      </c>
      <c r="E329" s="92">
        <f>SUM($F$242)</f>
        <v>6481.8341999999993</v>
      </c>
      <c r="F329" s="268">
        <f>ROUND(C329*E329,2)</f>
        <v>168.53</v>
      </c>
      <c r="G329" s="260"/>
    </row>
    <row r="330" spans="1:7" ht="12.95" customHeight="1" x14ac:dyDescent="0.2">
      <c r="A330" s="126"/>
      <c r="B330" s="162" t="s">
        <v>643</v>
      </c>
      <c r="C330" s="98">
        <v>0.33</v>
      </c>
      <c r="D330" s="250" t="s">
        <v>172</v>
      </c>
      <c r="E330" s="98">
        <f>F28</f>
        <v>45</v>
      </c>
      <c r="F330" s="270">
        <f>ROUND(C330*E330,2)</f>
        <v>14.85</v>
      </c>
      <c r="G330" s="260"/>
    </row>
    <row r="331" spans="1:7" ht="12.95" customHeight="1" x14ac:dyDescent="0.2">
      <c r="A331" s="126"/>
      <c r="B331" s="162" t="s">
        <v>616</v>
      </c>
      <c r="C331" s="98">
        <v>1</v>
      </c>
      <c r="D331" s="250" t="s">
        <v>155</v>
      </c>
      <c r="E331" s="372">
        <v>5</v>
      </c>
      <c r="F331" s="270">
        <f>ROUND(C331*E331,2)</f>
        <v>5</v>
      </c>
      <c r="G331" s="260"/>
    </row>
    <row r="332" spans="1:7" ht="12.95" customHeight="1" x14ac:dyDescent="0.2">
      <c r="A332" s="126"/>
      <c r="B332" s="162" t="s">
        <v>649</v>
      </c>
      <c r="C332" s="429">
        <v>5.2999999999999999E-2</v>
      </c>
      <c r="D332" s="250" t="s">
        <v>278</v>
      </c>
      <c r="E332" s="98">
        <f>F68</f>
        <v>400.56270000000006</v>
      </c>
      <c r="F332" s="270">
        <f>ROUND(C332*E332,2)</f>
        <v>21.23</v>
      </c>
      <c r="G332" s="186"/>
    </row>
    <row r="333" spans="1:7" ht="12.95" customHeight="1" x14ac:dyDescent="0.2">
      <c r="A333" s="126"/>
      <c r="B333" s="162" t="s">
        <v>652</v>
      </c>
      <c r="C333" s="98">
        <v>1</v>
      </c>
      <c r="D333" s="250" t="s">
        <v>124</v>
      </c>
      <c r="E333" s="98">
        <f>(((E$37*1)+(E$40*1)+(E$41*1)))/19</f>
        <v>165.10526315789474</v>
      </c>
      <c r="F333" s="270">
        <f>ROUND(C333*E333,2)</f>
        <v>165.11</v>
      </c>
      <c r="G333" s="186"/>
    </row>
    <row r="334" spans="1:7" ht="12.95" customHeight="1" thickBot="1" x14ac:dyDescent="0.25">
      <c r="A334" s="142"/>
      <c r="B334" s="182"/>
      <c r="C334" s="146"/>
      <c r="D334" s="188"/>
      <c r="E334" s="430" t="s">
        <v>530</v>
      </c>
      <c r="F334" s="175">
        <f>SUM(F329:F333)</f>
        <v>374.72</v>
      </c>
      <c r="G334" s="431"/>
    </row>
    <row r="335" spans="1:7" ht="12.95" customHeight="1" thickTop="1" x14ac:dyDescent="0.2">
      <c r="B335" s="196"/>
      <c r="C335" s="428"/>
      <c r="D335" s="261"/>
      <c r="E335" s="185"/>
      <c r="F335" s="185"/>
    </row>
    <row r="336" spans="1:7" ht="12.95" customHeight="1" thickBot="1" x14ac:dyDescent="0.25">
      <c r="B336" s="196" t="s">
        <v>653</v>
      </c>
      <c r="G336" s="260"/>
    </row>
    <row r="337" spans="1:7" ht="12.95" customHeight="1" thickTop="1" x14ac:dyDescent="0.2">
      <c r="A337" s="134"/>
      <c r="B337" s="160" t="s">
        <v>654</v>
      </c>
      <c r="C337" s="432">
        <v>6.3E-2</v>
      </c>
      <c r="D337" s="161" t="s">
        <v>88</v>
      </c>
      <c r="E337" s="92">
        <f>SUM(F250)</f>
        <v>6665.7406999999994</v>
      </c>
      <c r="F337" s="268">
        <f>ROUND(C337*E337,2)</f>
        <v>419.94</v>
      </c>
      <c r="G337" s="260"/>
    </row>
    <row r="338" spans="1:7" ht="12.95" customHeight="1" x14ac:dyDescent="0.2">
      <c r="A338" s="126"/>
      <c r="B338" s="162" t="s">
        <v>643</v>
      </c>
      <c r="C338" s="98">
        <v>0.33</v>
      </c>
      <c r="D338" s="163" t="s">
        <v>172</v>
      </c>
      <c r="E338" s="98">
        <f>F28</f>
        <v>45</v>
      </c>
      <c r="F338" s="270">
        <f>ROUND(C338*E338,2)</f>
        <v>14.85</v>
      </c>
      <c r="G338" s="260"/>
    </row>
    <row r="339" spans="1:7" ht="12.95" customHeight="1" x14ac:dyDescent="0.2">
      <c r="A339" s="126"/>
      <c r="B339" s="162" t="s">
        <v>616</v>
      </c>
      <c r="C339" s="98">
        <v>1</v>
      </c>
      <c r="D339" s="163" t="s">
        <v>155</v>
      </c>
      <c r="E339" s="372">
        <v>5</v>
      </c>
      <c r="F339" s="270">
        <f>ROUND(C339*E339,2)</f>
        <v>5</v>
      </c>
      <c r="G339" s="260"/>
    </row>
    <row r="340" spans="1:7" ht="12.95" customHeight="1" x14ac:dyDescent="0.2">
      <c r="A340" s="126"/>
      <c r="B340" s="162" t="s">
        <v>655</v>
      </c>
      <c r="C340" s="98">
        <v>1</v>
      </c>
      <c r="D340" s="163" t="s">
        <v>155</v>
      </c>
      <c r="E340" s="66">
        <f>ROUNDUP(((E42*2)/16)*C337,0)</f>
        <v>6</v>
      </c>
      <c r="F340" s="270">
        <f>ROUND(C340*E340,2)</f>
        <v>6</v>
      </c>
      <c r="G340" s="186"/>
    </row>
    <row r="341" spans="1:7" ht="12.95" customHeight="1" x14ac:dyDescent="0.2">
      <c r="A341" s="126"/>
      <c r="B341" s="162" t="s">
        <v>656</v>
      </c>
      <c r="C341" s="98">
        <v>1</v>
      </c>
      <c r="D341" s="163" t="s">
        <v>124</v>
      </c>
      <c r="E341" s="98">
        <f>'[29]LIST.  M.O.'!F98</f>
        <v>137.92650918635169</v>
      </c>
      <c r="F341" s="270">
        <f>ROUND(C341*E341,2)</f>
        <v>137.93</v>
      </c>
      <c r="G341" s="186"/>
    </row>
    <row r="342" spans="1:7" ht="12.95" customHeight="1" thickBot="1" x14ac:dyDescent="0.25">
      <c r="A342" s="142"/>
      <c r="B342" s="182"/>
      <c r="C342" s="146"/>
      <c r="D342" s="174" t="s">
        <v>657</v>
      </c>
      <c r="E342" s="152" t="s">
        <v>658</v>
      </c>
      <c r="F342" s="175">
        <f>SUM(F337:F341)</f>
        <v>583.72</v>
      </c>
    </row>
    <row r="343" spans="1:7" ht="12.95" customHeight="1" thickTop="1" x14ac:dyDescent="0.2">
      <c r="B343" s="196" t="s">
        <v>659</v>
      </c>
      <c r="C343" s="132">
        <v>1</v>
      </c>
      <c r="D343" s="184" t="s">
        <v>124</v>
      </c>
      <c r="E343" s="185" t="s">
        <v>530</v>
      </c>
      <c r="F343" s="263">
        <f>F342+F332+20</f>
        <v>624.95000000000005</v>
      </c>
      <c r="G343" s="260"/>
    </row>
    <row r="344" spans="1:7" ht="12.95" customHeight="1" x14ac:dyDescent="0.2">
      <c r="E344" s="288"/>
      <c r="F344" s="433"/>
      <c r="G344" s="260"/>
    </row>
    <row r="345" spans="1:7" ht="12.95" customHeight="1" thickBot="1" x14ac:dyDescent="0.25">
      <c r="B345" s="196" t="s">
        <v>660</v>
      </c>
      <c r="G345" s="260"/>
    </row>
    <row r="346" spans="1:7" ht="12.95" customHeight="1" thickTop="1" x14ac:dyDescent="0.2">
      <c r="A346" s="134"/>
      <c r="B346" s="160" t="s">
        <v>661</v>
      </c>
      <c r="C346" s="425">
        <v>6.3E-2</v>
      </c>
      <c r="D346" s="161" t="s">
        <v>88</v>
      </c>
      <c r="E346" s="92">
        <f>+F250</f>
        <v>6665.7406999999994</v>
      </c>
      <c r="F346" s="268">
        <f>ROUND(C346*E346,2)</f>
        <v>419.94</v>
      </c>
      <c r="G346" s="186"/>
    </row>
    <row r="347" spans="1:7" ht="12.95" customHeight="1" x14ac:dyDescent="0.2">
      <c r="A347" s="126"/>
      <c r="B347" s="162" t="s">
        <v>643</v>
      </c>
      <c r="C347" s="98">
        <v>0.33</v>
      </c>
      <c r="D347" s="163" t="s">
        <v>172</v>
      </c>
      <c r="E347" s="98">
        <f>F28</f>
        <v>45</v>
      </c>
      <c r="F347" s="270">
        <f>ROUND(C347*E347,2)</f>
        <v>14.85</v>
      </c>
      <c r="G347" s="186"/>
    </row>
    <row r="348" spans="1:7" ht="12.95" customHeight="1" x14ac:dyDescent="0.2">
      <c r="A348" s="126"/>
      <c r="B348" s="162" t="s">
        <v>662</v>
      </c>
      <c r="C348" s="98">
        <v>1</v>
      </c>
      <c r="D348" s="163" t="s">
        <v>155</v>
      </c>
      <c r="E348" s="66">
        <f>ROUNDUP(((E42*2)/16)*C346,0)</f>
        <v>6</v>
      </c>
      <c r="F348" s="270">
        <f>ROUND(C348*E348,2)</f>
        <v>6</v>
      </c>
      <c r="G348" s="186"/>
    </row>
    <row r="349" spans="1:7" ht="12.95" customHeight="1" x14ac:dyDescent="0.2">
      <c r="A349" s="126"/>
      <c r="B349" s="162" t="s">
        <v>663</v>
      </c>
      <c r="C349" s="98">
        <v>1</v>
      </c>
      <c r="D349" s="163" t="s">
        <v>124</v>
      </c>
      <c r="E349" s="98">
        <f>'[29]LIST.  M.O.'!F104</f>
        <v>131.375</v>
      </c>
      <c r="F349" s="270">
        <f>ROUND(C349*E349,2)</f>
        <v>131.38</v>
      </c>
      <c r="G349" s="260"/>
    </row>
    <row r="350" spans="1:7" ht="12.95" customHeight="1" thickBot="1" x14ac:dyDescent="0.25">
      <c r="A350" s="126"/>
      <c r="B350" s="182"/>
      <c r="C350" s="146"/>
      <c r="D350" s="174" t="s">
        <v>657</v>
      </c>
      <c r="E350" s="152" t="s">
        <v>658</v>
      </c>
      <c r="F350" s="175">
        <f>SUM(F346:F349)</f>
        <v>572.17000000000007</v>
      </c>
      <c r="G350" s="260"/>
    </row>
    <row r="351" spans="1:7" ht="8.25" customHeight="1" thickTop="1" x14ac:dyDescent="0.2">
      <c r="C351" s="132"/>
      <c r="D351" s="184"/>
      <c r="E351" s="185"/>
      <c r="F351" s="185"/>
      <c r="G351" s="260"/>
    </row>
    <row r="352" spans="1:7" ht="12.75" customHeight="1" thickBot="1" x14ac:dyDescent="0.25">
      <c r="B352" s="196" t="s">
        <v>127</v>
      </c>
      <c r="G352" s="186"/>
    </row>
    <row r="353" spans="1:7" ht="12.75" customHeight="1" thickTop="1" x14ac:dyDescent="0.2">
      <c r="A353" s="134"/>
      <c r="B353" s="160" t="s">
        <v>664</v>
      </c>
      <c r="C353" s="434">
        <v>4.3E-3</v>
      </c>
      <c r="D353" s="161" t="s">
        <v>88</v>
      </c>
      <c r="E353" s="92">
        <f>F242</f>
        <v>6481.8341999999993</v>
      </c>
      <c r="F353" s="268">
        <f>ROUND(C353*E353,2)</f>
        <v>27.87</v>
      </c>
      <c r="G353" s="186"/>
    </row>
    <row r="354" spans="1:7" ht="12.75" customHeight="1" x14ac:dyDescent="0.2">
      <c r="A354" s="126"/>
      <c r="B354" s="162" t="s">
        <v>643</v>
      </c>
      <c r="C354" s="435">
        <v>0.218</v>
      </c>
      <c r="D354" s="163" t="s">
        <v>172</v>
      </c>
      <c r="E354" s="98">
        <f>F28</f>
        <v>45</v>
      </c>
      <c r="F354" s="270">
        <f>ROUND(C354*E354,2)</f>
        <v>9.81</v>
      </c>
      <c r="G354" s="436"/>
    </row>
    <row r="355" spans="1:7" ht="12.75" customHeight="1" x14ac:dyDescent="0.2">
      <c r="A355" s="126"/>
      <c r="B355" s="162" t="s">
        <v>665</v>
      </c>
      <c r="C355" s="98">
        <v>1</v>
      </c>
      <c r="D355" s="163" t="s">
        <v>41</v>
      </c>
      <c r="E355" s="98">
        <v>59.5</v>
      </c>
      <c r="F355" s="270">
        <f>ROUND(C355*E355,2)</f>
        <v>59.5</v>
      </c>
    </row>
    <row r="356" spans="1:7" ht="12.75" customHeight="1" thickBot="1" x14ac:dyDescent="0.25">
      <c r="A356" s="142"/>
      <c r="B356" s="182"/>
      <c r="C356" s="146"/>
      <c r="D356" s="174" t="s">
        <v>657</v>
      </c>
      <c r="E356" s="236" t="s">
        <v>666</v>
      </c>
      <c r="F356" s="175">
        <f>SUM(F353:F355)</f>
        <v>97.18</v>
      </c>
      <c r="G356" s="260"/>
    </row>
    <row r="357" spans="1:7" ht="12.75" customHeight="1" thickTop="1" x14ac:dyDescent="0.2">
      <c r="C357" s="132"/>
      <c r="D357" s="184"/>
      <c r="E357" s="185"/>
      <c r="F357" s="185"/>
      <c r="G357" s="260"/>
    </row>
    <row r="358" spans="1:7" ht="12.75" customHeight="1" thickBot="1" x14ac:dyDescent="0.25">
      <c r="B358" s="196" t="s">
        <v>667</v>
      </c>
      <c r="C358" s="132"/>
      <c r="D358" s="184"/>
      <c r="E358" s="185"/>
      <c r="F358" s="185"/>
      <c r="G358" s="260"/>
    </row>
    <row r="359" spans="1:7" ht="12.75" customHeight="1" thickTop="1" x14ac:dyDescent="0.2">
      <c r="A359" s="134"/>
      <c r="B359" s="197" t="s">
        <v>668</v>
      </c>
      <c r="C359" s="437">
        <v>2.4E-2</v>
      </c>
      <c r="D359" s="161" t="s">
        <v>278</v>
      </c>
      <c r="E359" s="438">
        <f>F15</f>
        <v>600</v>
      </c>
      <c r="F359" s="268">
        <f>ROUND(C359*E359,2)</f>
        <v>14.4</v>
      </c>
      <c r="G359" s="260"/>
    </row>
    <row r="360" spans="1:7" ht="12.75" customHeight="1" x14ac:dyDescent="0.2">
      <c r="A360" s="126"/>
      <c r="B360" s="198" t="s">
        <v>273</v>
      </c>
      <c r="C360" s="439">
        <v>0.11229</v>
      </c>
      <c r="D360" s="163" t="s">
        <v>274</v>
      </c>
      <c r="E360" s="440">
        <f>F13</f>
        <v>3</v>
      </c>
      <c r="F360" s="270">
        <f>ROUND(C360*E360,2)</f>
        <v>0.34</v>
      </c>
      <c r="G360" s="260"/>
    </row>
    <row r="361" spans="1:7" ht="12.75" customHeight="1" x14ac:dyDescent="0.2">
      <c r="A361" s="414" t="s">
        <v>561</v>
      </c>
      <c r="B361" s="162" t="s">
        <v>669</v>
      </c>
      <c r="C361" s="106">
        <v>1</v>
      </c>
      <c r="D361" s="441" t="s">
        <v>124</v>
      </c>
      <c r="E361" s="199" t="s">
        <v>670</v>
      </c>
      <c r="F361" s="442">
        <f>SUM(F359:F360)</f>
        <v>14.74</v>
      </c>
      <c r="G361" s="260"/>
    </row>
    <row r="362" spans="1:7" ht="12.75" customHeight="1" x14ac:dyDescent="0.2">
      <c r="A362" s="414"/>
      <c r="B362" s="162" t="s">
        <v>671</v>
      </c>
      <c r="C362" s="106">
        <v>1</v>
      </c>
      <c r="D362" s="441" t="s">
        <v>124</v>
      </c>
      <c r="E362" s="443">
        <f>ROUND(F37+F41,2)/26</f>
        <v>88.07692307692308</v>
      </c>
      <c r="F362" s="270">
        <f>ROUND(C362*E362,2)</f>
        <v>88.08</v>
      </c>
      <c r="G362" s="260"/>
    </row>
    <row r="363" spans="1:7" ht="12.75" customHeight="1" thickBot="1" x14ac:dyDescent="0.25">
      <c r="A363" s="142"/>
      <c r="B363" s="421"/>
      <c r="C363" s="146"/>
      <c r="D363" s="174"/>
      <c r="E363" s="236" t="s">
        <v>670</v>
      </c>
      <c r="F363" s="444">
        <f>ROUND(SUM(F361:F362),2)</f>
        <v>102.82</v>
      </c>
      <c r="G363" s="260"/>
    </row>
    <row r="364" spans="1:7" ht="12.75" customHeight="1" thickTop="1" x14ac:dyDescent="0.2">
      <c r="C364" s="132"/>
      <c r="D364" s="184"/>
      <c r="E364" s="185"/>
      <c r="F364" s="185"/>
      <c r="G364" s="260"/>
    </row>
    <row r="365" spans="1:7" ht="12.75" customHeight="1" thickBot="1" x14ac:dyDescent="0.25">
      <c r="B365" s="196" t="s">
        <v>672</v>
      </c>
      <c r="C365" s="132"/>
      <c r="D365" s="184"/>
      <c r="E365" s="185"/>
      <c r="F365" s="185"/>
      <c r="G365" s="260"/>
    </row>
    <row r="366" spans="1:7" ht="12.75" customHeight="1" thickTop="1" x14ac:dyDescent="0.2">
      <c r="A366" s="134"/>
      <c r="B366" s="197" t="s">
        <v>673</v>
      </c>
      <c r="C366" s="437">
        <v>2.4E-2</v>
      </c>
      <c r="D366" s="161" t="s">
        <v>278</v>
      </c>
      <c r="E366" s="438">
        <f>F68</f>
        <v>400.56270000000006</v>
      </c>
      <c r="F366" s="268">
        <f>ROUND(C366*E366,2)</f>
        <v>9.61</v>
      </c>
      <c r="G366" s="260"/>
    </row>
    <row r="367" spans="1:7" ht="12.75" customHeight="1" x14ac:dyDescent="0.2">
      <c r="A367" s="126"/>
      <c r="B367" s="198" t="s">
        <v>273</v>
      </c>
      <c r="C367" s="439">
        <v>0.11229</v>
      </c>
      <c r="D367" s="163" t="s">
        <v>274</v>
      </c>
      <c r="E367" s="440">
        <f>F13</f>
        <v>3</v>
      </c>
      <c r="F367" s="270">
        <f>ROUND(C367*E367,2)</f>
        <v>0.34</v>
      </c>
      <c r="G367" s="260"/>
    </row>
    <row r="368" spans="1:7" ht="12.75" customHeight="1" x14ac:dyDescent="0.2">
      <c r="A368" s="414"/>
      <c r="B368" s="162" t="s">
        <v>669</v>
      </c>
      <c r="C368" s="106">
        <v>1</v>
      </c>
      <c r="D368" s="441" t="s">
        <v>124</v>
      </c>
      <c r="E368" s="199" t="s">
        <v>670</v>
      </c>
      <c r="F368" s="442">
        <f>SUM(F366:F367)</f>
        <v>9.9499999999999993</v>
      </c>
      <c r="G368" s="260"/>
    </row>
    <row r="369" spans="1:7" ht="12.75" customHeight="1" x14ac:dyDescent="0.2">
      <c r="A369" s="414"/>
      <c r="B369" s="162" t="s">
        <v>671</v>
      </c>
      <c r="C369" s="106">
        <v>1</v>
      </c>
      <c r="D369" s="441" t="s">
        <v>124</v>
      </c>
      <c r="E369" s="445">
        <f>ROUND(F37+F41,2)/26</f>
        <v>88.07692307692308</v>
      </c>
      <c r="F369" s="270">
        <f>ROUND(C369*E369,2)</f>
        <v>88.08</v>
      </c>
      <c r="G369" s="260"/>
    </row>
    <row r="370" spans="1:7" ht="12.75" customHeight="1" thickBot="1" x14ac:dyDescent="0.25">
      <c r="A370" s="142"/>
      <c r="B370" s="421"/>
      <c r="C370" s="146"/>
      <c r="D370" s="174"/>
      <c r="E370" s="236" t="s">
        <v>670</v>
      </c>
      <c r="F370" s="444">
        <f>ROUND(SUM(F368:F369),2)</f>
        <v>98.03</v>
      </c>
      <c r="G370" s="260"/>
    </row>
    <row r="371" spans="1:7" ht="12.75" customHeight="1" thickTop="1" x14ac:dyDescent="0.2">
      <c r="C371" s="132"/>
      <c r="D371" s="184"/>
      <c r="E371" s="185"/>
      <c r="F371" s="185"/>
      <c r="G371" s="260"/>
    </row>
    <row r="372" spans="1:7" ht="12.75" customHeight="1" x14ac:dyDescent="0.2">
      <c r="C372" s="132"/>
      <c r="D372" s="184"/>
      <c r="E372" s="185"/>
      <c r="F372" s="185"/>
      <c r="G372" s="260"/>
    </row>
    <row r="373" spans="1:7" ht="15" customHeight="1" x14ac:dyDescent="0.25">
      <c r="A373" s="154" t="s">
        <v>674</v>
      </c>
      <c r="B373" s="1722" t="s">
        <v>675</v>
      </c>
      <c r="C373" s="1722"/>
      <c r="D373" s="1722"/>
      <c r="E373" s="1722"/>
      <c r="F373" s="1722"/>
      <c r="G373" s="260"/>
    </row>
    <row r="374" spans="1:7" ht="12.95" customHeight="1" thickBot="1" x14ac:dyDescent="0.25">
      <c r="B374" s="196" t="s">
        <v>676</v>
      </c>
      <c r="C374" s="132"/>
      <c r="D374" s="184"/>
      <c r="E374" s="185"/>
      <c r="F374" s="185"/>
      <c r="G374" s="260"/>
    </row>
    <row r="375" spans="1:7" ht="12.95" customHeight="1" thickTop="1" x14ac:dyDescent="0.2">
      <c r="A375" s="134"/>
      <c r="B375" s="160" t="s">
        <v>407</v>
      </c>
      <c r="C375" s="92">
        <v>1</v>
      </c>
      <c r="D375" s="161" t="s">
        <v>297</v>
      </c>
      <c r="E375" s="92">
        <f>F74</f>
        <v>2803.6545555555554</v>
      </c>
      <c r="F375" s="268">
        <f>ROUND(C375*E375,2)</f>
        <v>2803.65</v>
      </c>
      <c r="G375" s="260"/>
    </row>
    <row r="376" spans="1:7" ht="12.95" customHeight="1" x14ac:dyDescent="0.2">
      <c r="A376" s="126"/>
      <c r="B376" s="272" t="s">
        <v>528</v>
      </c>
      <c r="C376" s="98">
        <v>1</v>
      </c>
      <c r="D376" s="163" t="s">
        <v>297</v>
      </c>
      <c r="E376" s="98">
        <f>F22</f>
        <v>323.63</v>
      </c>
      <c r="F376" s="270">
        <f>ROUND(C376*E376,2)</f>
        <v>323.63</v>
      </c>
      <c r="G376" s="260"/>
    </row>
    <row r="377" spans="1:7" ht="12.95" customHeight="1" x14ac:dyDescent="0.2">
      <c r="A377" s="126"/>
      <c r="B377" s="162" t="s">
        <v>677</v>
      </c>
      <c r="C377" s="98">
        <v>2</v>
      </c>
      <c r="D377" s="163" t="s">
        <v>325</v>
      </c>
      <c r="E377" s="98">
        <f>F30</f>
        <v>59</v>
      </c>
      <c r="F377" s="270">
        <f>ROUND(C377*E377,2)</f>
        <v>118</v>
      </c>
      <c r="G377" s="260"/>
    </row>
    <row r="378" spans="1:7" ht="12.95" customHeight="1" thickBot="1" x14ac:dyDescent="0.25">
      <c r="A378" s="142"/>
      <c r="B378" s="182"/>
      <c r="C378" s="146"/>
      <c r="D378" s="174"/>
      <c r="E378" s="236" t="s">
        <v>530</v>
      </c>
      <c r="F378" s="175">
        <f>SUM(F375:F377)</f>
        <v>3245.28</v>
      </c>
      <c r="G378" s="186"/>
    </row>
    <row r="379" spans="1:7" ht="12.95" customHeight="1" thickTop="1" x14ac:dyDescent="0.2">
      <c r="C379" s="132"/>
      <c r="D379" s="184"/>
      <c r="E379" s="185"/>
      <c r="F379" s="185"/>
      <c r="G379" s="289"/>
    </row>
    <row r="380" spans="1:7" ht="12.95" customHeight="1" thickBot="1" x14ac:dyDescent="0.25">
      <c r="B380" s="196" t="s">
        <v>678</v>
      </c>
      <c r="C380" s="132"/>
      <c r="D380" s="184"/>
      <c r="E380" s="185"/>
      <c r="F380" s="185"/>
      <c r="G380" s="289"/>
    </row>
    <row r="381" spans="1:7" ht="12.95" customHeight="1" thickTop="1" x14ac:dyDescent="0.2">
      <c r="A381" s="134"/>
      <c r="B381" s="160" t="s">
        <v>407</v>
      </c>
      <c r="C381" s="92">
        <v>1</v>
      </c>
      <c r="D381" s="161" t="s">
        <v>297</v>
      </c>
      <c r="E381" s="92">
        <f>F74</f>
        <v>2803.6545555555554</v>
      </c>
      <c r="F381" s="268">
        <f>ROUND(C381*E381,2)</f>
        <v>2803.65</v>
      </c>
      <c r="G381" s="289"/>
    </row>
    <row r="382" spans="1:7" ht="12.95" customHeight="1" x14ac:dyDescent="0.2">
      <c r="A382" s="126"/>
      <c r="B382" s="162" t="s">
        <v>677</v>
      </c>
      <c r="C382" s="98">
        <v>2</v>
      </c>
      <c r="D382" s="163" t="s">
        <v>325</v>
      </c>
      <c r="E382" s="98">
        <f>F30</f>
        <v>59</v>
      </c>
      <c r="F382" s="270">
        <f>ROUND(C382*E382,2)</f>
        <v>118</v>
      </c>
      <c r="G382" s="289"/>
    </row>
    <row r="383" spans="1:7" ht="12.95" customHeight="1" thickBot="1" x14ac:dyDescent="0.25">
      <c r="A383" s="142"/>
      <c r="B383" s="182"/>
      <c r="C383" s="146"/>
      <c r="D383" s="174"/>
      <c r="E383" s="236" t="s">
        <v>530</v>
      </c>
      <c r="F383" s="175">
        <f>SUM(F381:F382)</f>
        <v>2921.65</v>
      </c>
      <c r="G383" s="289"/>
    </row>
    <row r="384" spans="1:7" ht="9" customHeight="1" thickTop="1" x14ac:dyDescent="0.2">
      <c r="C384" s="132"/>
      <c r="D384" s="184"/>
      <c r="E384" s="185"/>
      <c r="F384" s="185"/>
      <c r="G384" s="289"/>
    </row>
    <row r="385" spans="1:11" ht="12.95" customHeight="1" thickBot="1" x14ac:dyDescent="0.25">
      <c r="B385" s="196" t="s">
        <v>679</v>
      </c>
      <c r="C385" s="132"/>
      <c r="D385" s="184"/>
      <c r="E385" s="185"/>
      <c r="F385" s="185"/>
      <c r="G385" s="289"/>
    </row>
    <row r="386" spans="1:11" ht="12.95" customHeight="1" thickTop="1" x14ac:dyDescent="0.2">
      <c r="A386" s="134"/>
      <c r="B386" s="160" t="s">
        <v>407</v>
      </c>
      <c r="C386" s="92">
        <v>1</v>
      </c>
      <c r="D386" s="161" t="s">
        <v>297</v>
      </c>
      <c r="E386" s="92">
        <f>F21</f>
        <v>2406.5</v>
      </c>
      <c r="F386" s="268">
        <f>ROUND(C386*E386,2)</f>
        <v>2406.5</v>
      </c>
      <c r="G386" s="289"/>
    </row>
    <row r="387" spans="1:11" ht="12.95" customHeight="1" x14ac:dyDescent="0.2">
      <c r="A387" s="126"/>
      <c r="B387" s="272" t="s">
        <v>528</v>
      </c>
      <c r="C387" s="98">
        <v>1</v>
      </c>
      <c r="D387" s="163" t="s">
        <v>297</v>
      </c>
      <c r="E387" s="98">
        <f>F23</f>
        <v>486.5</v>
      </c>
      <c r="F387" s="270">
        <f>ROUND(C387*E387,2)</f>
        <v>486.5</v>
      </c>
      <c r="G387" s="289"/>
    </row>
    <row r="388" spans="1:11" ht="12.95" customHeight="1" x14ac:dyDescent="0.2">
      <c r="A388" s="126"/>
      <c r="B388" s="162" t="s">
        <v>677</v>
      </c>
      <c r="C388" s="98">
        <v>2</v>
      </c>
      <c r="D388" s="163" t="s">
        <v>325</v>
      </c>
      <c r="E388" s="98">
        <f>F30</f>
        <v>59</v>
      </c>
      <c r="F388" s="270">
        <f>ROUND(C388*E388,2)</f>
        <v>118</v>
      </c>
      <c r="G388" s="289"/>
    </row>
    <row r="389" spans="1:11" ht="12.95" customHeight="1" thickBot="1" x14ac:dyDescent="0.25">
      <c r="A389" s="142"/>
      <c r="B389" s="182"/>
      <c r="C389" s="146"/>
      <c r="D389" s="174"/>
      <c r="E389" s="236" t="s">
        <v>530</v>
      </c>
      <c r="F389" s="175">
        <f>SUM(F386:F388)</f>
        <v>3011</v>
      </c>
      <c r="G389" s="289"/>
    </row>
    <row r="390" spans="1:11" ht="8.25" customHeight="1" thickTop="1" x14ac:dyDescent="0.2">
      <c r="C390" s="132"/>
      <c r="D390" s="184"/>
      <c r="E390" s="185"/>
      <c r="F390" s="185"/>
      <c r="G390" s="289"/>
    </row>
    <row r="391" spans="1:11" ht="15" customHeight="1" x14ac:dyDescent="0.25">
      <c r="A391" s="154" t="s">
        <v>680</v>
      </c>
      <c r="B391" s="1735" t="s">
        <v>681</v>
      </c>
      <c r="C391" s="1735"/>
      <c r="D391" s="1735"/>
      <c r="E391" s="1735"/>
      <c r="F391" s="1735"/>
    </row>
    <row r="392" spans="1:11" ht="6.75" customHeight="1" x14ac:dyDescent="0.2">
      <c r="E392" s="288"/>
      <c r="F392" s="288"/>
      <c r="G392" s="186"/>
    </row>
    <row r="393" spans="1:11" ht="12.95" customHeight="1" thickBot="1" x14ac:dyDescent="0.25">
      <c r="B393" s="196" t="s">
        <v>682</v>
      </c>
      <c r="G393" s="186"/>
    </row>
    <row r="394" spans="1:11" ht="12.95" customHeight="1" thickTop="1" x14ac:dyDescent="0.2">
      <c r="A394" s="134"/>
      <c r="B394" s="160" t="s">
        <v>683</v>
      </c>
      <c r="C394" s="92">
        <v>13</v>
      </c>
      <c r="D394" s="249" t="s">
        <v>8</v>
      </c>
      <c r="E394" s="92">
        <f>F26</f>
        <v>39.979999999999997</v>
      </c>
      <c r="F394" s="268">
        <f>ROUND(C394*E394,2)</f>
        <v>519.74</v>
      </c>
      <c r="G394" s="186"/>
    </row>
    <row r="395" spans="1:11" ht="12.95" customHeight="1" x14ac:dyDescent="0.2">
      <c r="A395" s="126"/>
      <c r="B395" s="162" t="s">
        <v>684</v>
      </c>
      <c r="C395" s="98">
        <v>13</v>
      </c>
      <c r="D395" s="250" t="s">
        <v>8</v>
      </c>
      <c r="E395" s="98">
        <f>'[29]LIST.  M.O.'!F142</f>
        <v>20.911111111111111</v>
      </c>
      <c r="F395" s="270">
        <f t="shared" ref="F395:F401" si="3">ROUND(C395*E395,2)</f>
        <v>271.83999999999997</v>
      </c>
      <c r="G395" s="186"/>
      <c r="I395" s="66">
        <v>195</v>
      </c>
    </row>
    <row r="396" spans="1:11" ht="12.95" customHeight="1" x14ac:dyDescent="0.2">
      <c r="A396" s="126"/>
      <c r="B396" s="162" t="s">
        <v>685</v>
      </c>
      <c r="C396" s="429">
        <v>3.9E-2</v>
      </c>
      <c r="D396" s="250" t="s">
        <v>88</v>
      </c>
      <c r="E396" s="98">
        <f>F250</f>
        <v>6665.7406999999994</v>
      </c>
      <c r="F396" s="270">
        <f t="shared" si="3"/>
        <v>259.95999999999998</v>
      </c>
      <c r="G396" s="186"/>
      <c r="I396" s="66">
        <v>325</v>
      </c>
    </row>
    <row r="397" spans="1:11" ht="12.95" customHeight="1" x14ac:dyDescent="0.2">
      <c r="A397" s="126"/>
      <c r="B397" s="162" t="s">
        <v>686</v>
      </c>
      <c r="C397" s="446">
        <v>1.06E-2</v>
      </c>
      <c r="D397" s="250" t="s">
        <v>88</v>
      </c>
      <c r="E397" s="98">
        <f>SUM(F224)</f>
        <v>4954.1690999999992</v>
      </c>
      <c r="F397" s="270">
        <f t="shared" si="3"/>
        <v>52.51</v>
      </c>
      <c r="I397" s="66">
        <v>325</v>
      </c>
    </row>
    <row r="398" spans="1:11" ht="12.95" customHeight="1" x14ac:dyDescent="0.2">
      <c r="A398" s="126"/>
      <c r="B398" s="162" t="s">
        <v>687</v>
      </c>
      <c r="C398" s="446">
        <v>2.9600000000000001E-2</v>
      </c>
      <c r="D398" s="250" t="s">
        <v>297</v>
      </c>
      <c r="E398" s="98">
        <f>F378</f>
        <v>3245.28</v>
      </c>
      <c r="F398" s="270">
        <f t="shared" si="3"/>
        <v>96.06</v>
      </c>
      <c r="G398" s="260"/>
      <c r="I398" s="66">
        <f>0.0296*225.66</f>
        <v>6.6795360000000006</v>
      </c>
      <c r="K398" s="68">
        <f>1/28.25</f>
        <v>3.5398230088495575E-2</v>
      </c>
    </row>
    <row r="399" spans="1:11" ht="12.95" customHeight="1" x14ac:dyDescent="0.2">
      <c r="A399" s="126"/>
      <c r="B399" s="162" t="s">
        <v>688</v>
      </c>
      <c r="C399" s="446">
        <v>0.18179999999999999</v>
      </c>
      <c r="D399" s="250" t="s">
        <v>172</v>
      </c>
      <c r="E399" s="98">
        <f>F28</f>
        <v>45</v>
      </c>
      <c r="F399" s="270">
        <f t="shared" si="3"/>
        <v>8.18</v>
      </c>
      <c r="G399" s="260"/>
      <c r="I399" s="66">
        <v>6.36</v>
      </c>
    </row>
    <row r="400" spans="1:11" ht="12.95" customHeight="1" x14ac:dyDescent="0.2">
      <c r="A400" s="126"/>
      <c r="B400" s="162" t="s">
        <v>689</v>
      </c>
      <c r="C400" s="429">
        <v>2.3E-2</v>
      </c>
      <c r="D400" s="250" t="s">
        <v>343</v>
      </c>
      <c r="E400" s="98">
        <f>F42</f>
        <v>659</v>
      </c>
      <c r="F400" s="270">
        <f t="shared" si="3"/>
        <v>15.16</v>
      </c>
      <c r="G400" s="260"/>
      <c r="I400" s="66">
        <v>14.95</v>
      </c>
    </row>
    <row r="401" spans="1:9" ht="12.95" customHeight="1" x14ac:dyDescent="0.2">
      <c r="A401" s="126"/>
      <c r="B401" s="162" t="s">
        <v>690</v>
      </c>
      <c r="C401" s="98">
        <v>0.01</v>
      </c>
      <c r="D401" s="250" t="s">
        <v>88</v>
      </c>
      <c r="E401" s="98">
        <f>F42</f>
        <v>659</v>
      </c>
      <c r="F401" s="270">
        <f t="shared" si="3"/>
        <v>6.59</v>
      </c>
      <c r="G401" s="260"/>
      <c r="I401" s="66">
        <v>6.5</v>
      </c>
    </row>
    <row r="402" spans="1:9" ht="12.95" customHeight="1" x14ac:dyDescent="0.2">
      <c r="A402" s="126"/>
      <c r="B402" s="229" t="s">
        <v>691</v>
      </c>
      <c r="C402" s="140"/>
      <c r="D402" s="250"/>
      <c r="E402" s="447" t="s">
        <v>692</v>
      </c>
      <c r="F402" s="448">
        <f>SUM(F394:F401)</f>
        <v>1230.04</v>
      </c>
      <c r="G402" s="260"/>
      <c r="I402" s="66">
        <f>SUM(I395:I401)</f>
        <v>879.48953600000004</v>
      </c>
    </row>
    <row r="403" spans="1:9" ht="12.95" customHeight="1" x14ac:dyDescent="0.2">
      <c r="A403" s="126"/>
      <c r="B403" s="449" t="s">
        <v>693</v>
      </c>
      <c r="C403" s="140"/>
      <c r="D403" s="250"/>
      <c r="E403" s="199" t="s">
        <v>694</v>
      </c>
      <c r="F403" s="450">
        <f>F402-(F400+F399)</f>
        <v>1206.7</v>
      </c>
      <c r="G403" s="260"/>
    </row>
    <row r="404" spans="1:9" ht="12.95" customHeight="1" x14ac:dyDescent="0.2">
      <c r="A404" s="126"/>
      <c r="B404" s="229" t="s">
        <v>695</v>
      </c>
      <c r="C404" s="140"/>
      <c r="D404" s="250"/>
      <c r="E404" s="447" t="s">
        <v>694</v>
      </c>
      <c r="F404" s="448">
        <f>F402-(F397+F398)+((5*C397*E397)+(5*C398*E398))</f>
        <v>1824.3424023</v>
      </c>
      <c r="G404" s="260"/>
    </row>
    <row r="405" spans="1:9" ht="12.95" customHeight="1" thickBot="1" x14ac:dyDescent="0.25">
      <c r="A405" s="142"/>
      <c r="B405" s="451" t="s">
        <v>696</v>
      </c>
      <c r="C405" s="146"/>
      <c r="D405" s="188"/>
      <c r="E405" s="236" t="s">
        <v>694</v>
      </c>
      <c r="F405" s="175">
        <f>F403-(F397+F398)+((5*C397*E397)+(5*C398*E398))</f>
        <v>1801.0024023000001</v>
      </c>
      <c r="G405" s="260"/>
    </row>
    <row r="406" spans="1:9" ht="6.75" customHeight="1" thickTop="1" x14ac:dyDescent="0.2">
      <c r="C406" s="132"/>
      <c r="D406" s="261"/>
      <c r="E406" s="185"/>
      <c r="F406" s="185"/>
      <c r="G406" s="186"/>
    </row>
    <row r="407" spans="1:9" ht="12.95" customHeight="1" thickBot="1" x14ac:dyDescent="0.25">
      <c r="B407" s="452" t="s">
        <v>697</v>
      </c>
      <c r="C407" s="453"/>
      <c r="D407" s="454"/>
      <c r="G407" s="186"/>
    </row>
    <row r="408" spans="1:9" ht="12.95" customHeight="1" thickTop="1" x14ac:dyDescent="0.2">
      <c r="A408" s="134"/>
      <c r="B408" s="160" t="s">
        <v>698</v>
      </c>
      <c r="C408" s="92">
        <v>13</v>
      </c>
      <c r="D408" s="249" t="s">
        <v>8</v>
      </c>
      <c r="E408" s="92">
        <f t="shared" ref="E408:E415" si="4">+E422</f>
        <v>36</v>
      </c>
      <c r="F408" s="268">
        <f>ROUND(C408*E408,2)</f>
        <v>468</v>
      </c>
      <c r="G408" s="289"/>
      <c r="I408" s="66" t="s">
        <v>699</v>
      </c>
    </row>
    <row r="409" spans="1:9" ht="12.95" customHeight="1" x14ac:dyDescent="0.2">
      <c r="A409" s="126"/>
      <c r="B409" s="162" t="s">
        <v>700</v>
      </c>
      <c r="C409" s="98">
        <v>13</v>
      </c>
      <c r="D409" s="250" t="s">
        <v>8</v>
      </c>
      <c r="E409" s="98">
        <f t="shared" si="4"/>
        <v>18.82</v>
      </c>
      <c r="F409" s="270">
        <f t="shared" ref="F409:F415" si="5">ROUND(C409*E409,2)</f>
        <v>244.66</v>
      </c>
      <c r="I409" s="66">
        <v>162.5</v>
      </c>
    </row>
    <row r="410" spans="1:9" ht="12.95" customHeight="1" x14ac:dyDescent="0.2">
      <c r="A410" s="126"/>
      <c r="B410" s="272" t="s">
        <v>701</v>
      </c>
      <c r="C410" s="446">
        <v>3.5200000000000002E-2</v>
      </c>
      <c r="D410" s="250" t="s">
        <v>88</v>
      </c>
      <c r="E410" s="98">
        <f t="shared" si="4"/>
        <v>6665.7406999999994</v>
      </c>
      <c r="F410" s="270">
        <f t="shared" si="5"/>
        <v>234.63</v>
      </c>
      <c r="G410" s="260"/>
      <c r="I410" s="66">
        <v>325</v>
      </c>
    </row>
    <row r="411" spans="1:9" ht="12.95" customHeight="1" x14ac:dyDescent="0.2">
      <c r="A411" s="126"/>
      <c r="B411" s="162" t="s">
        <v>702</v>
      </c>
      <c r="C411" s="98">
        <v>4.0099999999999997E-2</v>
      </c>
      <c r="D411" s="250" t="s">
        <v>88</v>
      </c>
      <c r="E411" s="98">
        <f t="shared" si="4"/>
        <v>4954.1690999999992</v>
      </c>
      <c r="F411" s="270">
        <f t="shared" si="5"/>
        <v>198.66</v>
      </c>
      <c r="G411" s="260"/>
      <c r="I411" s="66">
        <v>325</v>
      </c>
    </row>
    <row r="412" spans="1:9" ht="12.95" customHeight="1" x14ac:dyDescent="0.2">
      <c r="A412" s="126"/>
      <c r="B412" s="162" t="s">
        <v>703</v>
      </c>
      <c r="C412" s="446">
        <v>3.6999999999999998E-2</v>
      </c>
      <c r="D412" s="250" t="s">
        <v>297</v>
      </c>
      <c r="E412" s="98">
        <f t="shared" si="4"/>
        <v>3245.28</v>
      </c>
      <c r="F412" s="270">
        <f t="shared" si="5"/>
        <v>120.08</v>
      </c>
      <c r="G412" s="260"/>
      <c r="I412" s="66">
        <f>0.0296*225.66</f>
        <v>6.6795360000000006</v>
      </c>
    </row>
    <row r="413" spans="1:9" ht="12.95" customHeight="1" x14ac:dyDescent="0.2">
      <c r="A413" s="126"/>
      <c r="B413" s="162" t="s">
        <v>704</v>
      </c>
      <c r="C413" s="446">
        <v>0.18179999999999999</v>
      </c>
      <c r="D413" s="250" t="s">
        <v>172</v>
      </c>
      <c r="E413" s="98">
        <f t="shared" si="4"/>
        <v>45</v>
      </c>
      <c r="F413" s="270">
        <f t="shared" si="5"/>
        <v>8.18</v>
      </c>
      <c r="G413" s="260"/>
      <c r="I413" s="66">
        <v>6.36</v>
      </c>
    </row>
    <row r="414" spans="1:9" ht="12.95" customHeight="1" x14ac:dyDescent="0.2">
      <c r="A414" s="126"/>
      <c r="B414" s="162" t="s">
        <v>689</v>
      </c>
      <c r="C414" s="429">
        <v>2.3E-2</v>
      </c>
      <c r="D414" s="250" t="s">
        <v>343</v>
      </c>
      <c r="E414" s="98">
        <f t="shared" si="4"/>
        <v>659</v>
      </c>
      <c r="F414" s="270">
        <f t="shared" si="5"/>
        <v>15.16</v>
      </c>
      <c r="G414" s="260"/>
      <c r="I414" s="66">
        <v>14.95</v>
      </c>
    </row>
    <row r="415" spans="1:9" ht="12.95" customHeight="1" x14ac:dyDescent="0.2">
      <c r="A415" s="126"/>
      <c r="B415" s="162" t="s">
        <v>705</v>
      </c>
      <c r="C415" s="98">
        <v>1.0999999999999999E-2</v>
      </c>
      <c r="D415" s="250" t="s">
        <v>88</v>
      </c>
      <c r="E415" s="98">
        <f t="shared" si="4"/>
        <v>659</v>
      </c>
      <c r="F415" s="270">
        <f t="shared" si="5"/>
        <v>7.25</v>
      </c>
      <c r="G415" s="260"/>
      <c r="I415" s="66">
        <v>6.5</v>
      </c>
    </row>
    <row r="416" spans="1:9" ht="12.95" customHeight="1" x14ac:dyDescent="0.2">
      <c r="A416" s="414"/>
      <c r="B416" s="251" t="s">
        <v>706</v>
      </c>
      <c r="C416" s="106">
        <v>13</v>
      </c>
      <c r="D416" s="455" t="s">
        <v>8</v>
      </c>
      <c r="E416" s="106">
        <v>5</v>
      </c>
      <c r="F416" s="456">
        <f>+E416*C416</f>
        <v>65</v>
      </c>
      <c r="G416" s="260"/>
    </row>
    <row r="417" spans="1:9" ht="12.95" customHeight="1" x14ac:dyDescent="0.2">
      <c r="A417" s="414"/>
      <c r="B417" s="457" t="s">
        <v>707</v>
      </c>
      <c r="C417" s="458"/>
      <c r="D417" s="455"/>
      <c r="E417" s="459" t="s">
        <v>692</v>
      </c>
      <c r="F417" s="460">
        <f>SUM(F408:F416)</f>
        <v>1361.6200000000001</v>
      </c>
      <c r="G417" s="260"/>
      <c r="I417" s="66">
        <f>SUM(I409:I415)</f>
        <v>846.98953600000004</v>
      </c>
    </row>
    <row r="418" spans="1:9" ht="12.95" customHeight="1" x14ac:dyDescent="0.2">
      <c r="A418" s="126"/>
      <c r="B418" s="449" t="s">
        <v>708</v>
      </c>
      <c r="C418" s="140"/>
      <c r="D418" s="250"/>
      <c r="E418" s="199" t="s">
        <v>694</v>
      </c>
      <c r="F418" s="461">
        <f>F417-(F414+F413)-F416</f>
        <v>1273.2800000000002</v>
      </c>
      <c r="G418" s="260"/>
    </row>
    <row r="419" spans="1:9" ht="12.95" customHeight="1" x14ac:dyDescent="0.2">
      <c r="A419" s="126"/>
      <c r="B419" s="229" t="s">
        <v>709</v>
      </c>
      <c r="C419" s="140"/>
      <c r="D419" s="250"/>
      <c r="E419" s="459" t="s">
        <v>692</v>
      </c>
      <c r="F419" s="448">
        <f>F417-(F411+F412)+((5*C411*E411)+(5*C412*E412))</f>
        <v>2636.5677045499997</v>
      </c>
      <c r="G419" s="260"/>
    </row>
    <row r="420" spans="1:9" ht="12.95" customHeight="1" thickBot="1" x14ac:dyDescent="0.25">
      <c r="A420" s="142"/>
      <c r="B420" s="451" t="s">
        <v>710</v>
      </c>
      <c r="C420" s="146"/>
      <c r="D420" s="188"/>
      <c r="E420" s="236" t="s">
        <v>694</v>
      </c>
      <c r="F420" s="175">
        <f>F418-(F411+F412)+((5*C411*E411)+(5*C412*E412))</f>
        <v>2548.22770455</v>
      </c>
      <c r="G420" s="260"/>
    </row>
    <row r="421" spans="1:9" ht="12.95" customHeight="1" thickTop="1" thickBot="1" x14ac:dyDescent="0.25">
      <c r="B421" s="452" t="s">
        <v>1345</v>
      </c>
      <c r="G421" s="186"/>
    </row>
    <row r="422" spans="1:9" ht="12.95" customHeight="1" thickTop="1" x14ac:dyDescent="0.2">
      <c r="A422" s="134"/>
      <c r="B422" s="160" t="s">
        <v>698</v>
      </c>
      <c r="C422" s="92">
        <v>13</v>
      </c>
      <c r="D422" s="249" t="s">
        <v>8</v>
      </c>
      <c r="E422" s="92">
        <f>F25</f>
        <v>36</v>
      </c>
      <c r="F422" s="268">
        <f>ROUND(C422*E422,2)</f>
        <v>468</v>
      </c>
      <c r="G422" s="289"/>
      <c r="I422" s="66" t="s">
        <v>699</v>
      </c>
    </row>
    <row r="423" spans="1:9" ht="12.95" customHeight="1" x14ac:dyDescent="0.2">
      <c r="A423" s="126"/>
      <c r="B423" s="162" t="s">
        <v>700</v>
      </c>
      <c r="C423" s="98">
        <v>13</v>
      </c>
      <c r="D423" s="250" t="s">
        <v>8</v>
      </c>
      <c r="E423" s="98">
        <f>'[29]LIST.  M.O.'!F135</f>
        <v>18.82</v>
      </c>
      <c r="F423" s="270">
        <f t="shared" ref="F423:F429" si="6">ROUND(C423*E423,2)</f>
        <v>244.66</v>
      </c>
      <c r="I423" s="66">
        <v>162.5</v>
      </c>
    </row>
    <row r="424" spans="1:9" ht="12.95" customHeight="1" x14ac:dyDescent="0.2">
      <c r="A424" s="126"/>
      <c r="B424" s="272" t="s">
        <v>701</v>
      </c>
      <c r="C424" s="446">
        <f>+C410</f>
        <v>3.5200000000000002E-2</v>
      </c>
      <c r="D424" s="250" t="s">
        <v>88</v>
      </c>
      <c r="E424" s="98">
        <f>F250</f>
        <v>6665.7406999999994</v>
      </c>
      <c r="F424" s="270">
        <f t="shared" si="6"/>
        <v>234.63</v>
      </c>
      <c r="G424" s="260"/>
      <c r="I424" s="66">
        <v>325</v>
      </c>
    </row>
    <row r="425" spans="1:9" ht="12.95" customHeight="1" x14ac:dyDescent="0.2">
      <c r="A425" s="126"/>
      <c r="B425" s="162" t="s">
        <v>702</v>
      </c>
      <c r="C425" s="98">
        <f>+C411</f>
        <v>4.0099999999999997E-2</v>
      </c>
      <c r="D425" s="250" t="s">
        <v>88</v>
      </c>
      <c r="E425" s="98">
        <f>SUM(F224)</f>
        <v>4954.1690999999992</v>
      </c>
      <c r="F425" s="270">
        <f t="shared" si="6"/>
        <v>198.66</v>
      </c>
      <c r="G425" s="260"/>
      <c r="I425" s="66">
        <v>325</v>
      </c>
    </row>
    <row r="426" spans="1:9" ht="12.95" customHeight="1" x14ac:dyDescent="0.2">
      <c r="A426" s="126"/>
      <c r="B426" s="162" t="s">
        <v>703</v>
      </c>
      <c r="C426" s="446">
        <f>+C412</f>
        <v>3.6999999999999998E-2</v>
      </c>
      <c r="D426" s="250" t="s">
        <v>297</v>
      </c>
      <c r="E426" s="98">
        <f>F378</f>
        <v>3245.28</v>
      </c>
      <c r="F426" s="270">
        <f t="shared" si="6"/>
        <v>120.08</v>
      </c>
      <c r="G426" s="260"/>
      <c r="I426" s="66">
        <f>0.0296*225.66</f>
        <v>6.6795360000000006</v>
      </c>
    </row>
    <row r="427" spans="1:9" ht="12.95" customHeight="1" x14ac:dyDescent="0.2">
      <c r="A427" s="126"/>
      <c r="B427" s="162" t="s">
        <v>704</v>
      </c>
      <c r="C427" s="446">
        <v>0.18179999999999999</v>
      </c>
      <c r="D427" s="250" t="s">
        <v>172</v>
      </c>
      <c r="E427" s="98">
        <f>E28</f>
        <v>45</v>
      </c>
      <c r="F427" s="270">
        <f t="shared" si="6"/>
        <v>8.18</v>
      </c>
      <c r="G427" s="260"/>
      <c r="I427" s="66">
        <v>6.36</v>
      </c>
    </row>
    <row r="428" spans="1:9" ht="12.95" customHeight="1" x14ac:dyDescent="0.2">
      <c r="A428" s="126"/>
      <c r="B428" s="162" t="s">
        <v>689</v>
      </c>
      <c r="C428" s="429">
        <v>2.3E-2</v>
      </c>
      <c r="D428" s="250" t="s">
        <v>343</v>
      </c>
      <c r="E428" s="98">
        <f>F42</f>
        <v>659</v>
      </c>
      <c r="F428" s="270">
        <f t="shared" si="6"/>
        <v>15.16</v>
      </c>
      <c r="G428" s="260"/>
      <c r="I428" s="66">
        <v>14.95</v>
      </c>
    </row>
    <row r="429" spans="1:9" ht="12.95" customHeight="1" x14ac:dyDescent="0.2">
      <c r="A429" s="126"/>
      <c r="B429" s="162" t="s">
        <v>705</v>
      </c>
      <c r="C429" s="98">
        <v>0.01</v>
      </c>
      <c r="D429" s="250" t="s">
        <v>88</v>
      </c>
      <c r="E429" s="98">
        <f>F42</f>
        <v>659</v>
      </c>
      <c r="F429" s="270">
        <f t="shared" si="6"/>
        <v>6.59</v>
      </c>
      <c r="G429" s="260"/>
      <c r="I429" s="66">
        <v>6.5</v>
      </c>
    </row>
    <row r="430" spans="1:9" ht="12.95" customHeight="1" x14ac:dyDescent="0.2">
      <c r="A430" s="414"/>
      <c r="B430" s="457" t="s">
        <v>707</v>
      </c>
      <c r="C430" s="458"/>
      <c r="D430" s="455"/>
      <c r="E430" s="459" t="s">
        <v>692</v>
      </c>
      <c r="F430" s="462">
        <f>SUM(F422:F429)</f>
        <v>1295.96</v>
      </c>
      <c r="G430" s="260"/>
      <c r="I430" s="66">
        <f>SUM(I423:I429)</f>
        <v>846.98953600000004</v>
      </c>
    </row>
    <row r="431" spans="1:9" ht="12.95" customHeight="1" x14ac:dyDescent="0.2">
      <c r="A431" s="126"/>
      <c r="B431" s="449" t="s">
        <v>708</v>
      </c>
      <c r="C431" s="140"/>
      <c r="D431" s="250"/>
      <c r="E431" s="199" t="s">
        <v>694</v>
      </c>
      <c r="F431" s="450">
        <f>F430-(F428+F427)</f>
        <v>1272.6200000000001</v>
      </c>
      <c r="G431" s="260"/>
    </row>
    <row r="432" spans="1:9" ht="12.95" customHeight="1" x14ac:dyDescent="0.2">
      <c r="A432" s="126"/>
      <c r="B432" s="229" t="s">
        <v>709</v>
      </c>
      <c r="C432" s="140"/>
      <c r="D432" s="250"/>
      <c r="E432" s="459" t="s">
        <v>692</v>
      </c>
      <c r="F432" s="448">
        <f>F430-(F425+F426)+((5*C425*E425)+(5*C426*E426))</f>
        <v>2570.9077045499998</v>
      </c>
      <c r="G432" s="260"/>
    </row>
    <row r="433" spans="1:16" ht="12.95" customHeight="1" thickBot="1" x14ac:dyDescent="0.25">
      <c r="A433" s="142"/>
      <c r="B433" s="451" t="s">
        <v>710</v>
      </c>
      <c r="C433" s="146"/>
      <c r="D433" s="188"/>
      <c r="E433" s="236" t="s">
        <v>694</v>
      </c>
      <c r="F433" s="175">
        <f>F431-(F425+F426)+((5*C425*E425)+(5*C426*E426))</f>
        <v>2547.5677045499997</v>
      </c>
      <c r="G433" s="260"/>
    </row>
    <row r="434" spans="1:16" ht="8.25" customHeight="1" thickTop="1" x14ac:dyDescent="0.2">
      <c r="E434" s="288"/>
      <c r="F434" s="288"/>
      <c r="G434" s="186"/>
    </row>
    <row r="435" spans="1:16" ht="12.95" customHeight="1" thickBot="1" x14ac:dyDescent="0.25">
      <c r="B435" s="196" t="s">
        <v>711</v>
      </c>
      <c r="G435" s="289"/>
    </row>
    <row r="436" spans="1:16" ht="12.95" customHeight="1" thickTop="1" x14ac:dyDescent="0.2">
      <c r="A436" s="134"/>
      <c r="B436" s="463" t="s">
        <v>712</v>
      </c>
      <c r="C436" s="92">
        <v>13</v>
      </c>
      <c r="D436" s="249" t="s">
        <v>8</v>
      </c>
      <c r="E436" s="92">
        <f>F24</f>
        <v>29.88</v>
      </c>
      <c r="F436" s="268">
        <f>ROUND(C436*E436,2)</f>
        <v>388.44</v>
      </c>
      <c r="G436" s="289"/>
    </row>
    <row r="437" spans="1:16" ht="12.95" customHeight="1" x14ac:dyDescent="0.2">
      <c r="A437" s="126"/>
      <c r="B437" s="272" t="s">
        <v>713</v>
      </c>
      <c r="C437" s="98">
        <v>13</v>
      </c>
      <c r="D437" s="250" t="s">
        <v>8</v>
      </c>
      <c r="E437" s="98">
        <f>'[29]LIST.  M.O.'!F128</f>
        <v>22.584</v>
      </c>
      <c r="F437" s="270">
        <f t="shared" ref="F437:F443" si="7">ROUND(C437*E437,2)</f>
        <v>293.58999999999997</v>
      </c>
      <c r="G437" s="464"/>
      <c r="I437" s="66">
        <v>182</v>
      </c>
    </row>
    <row r="438" spans="1:16" ht="12.95" customHeight="1" x14ac:dyDescent="0.2">
      <c r="A438" s="126"/>
      <c r="B438" s="162" t="s">
        <v>714</v>
      </c>
      <c r="C438" s="98">
        <v>0.02</v>
      </c>
      <c r="D438" s="250" t="s">
        <v>88</v>
      </c>
      <c r="E438" s="98">
        <f>F250</f>
        <v>6665.7406999999994</v>
      </c>
      <c r="F438" s="270">
        <f t="shared" si="7"/>
        <v>133.31</v>
      </c>
      <c r="G438" s="464"/>
      <c r="I438" s="66">
        <v>325</v>
      </c>
    </row>
    <row r="439" spans="1:16" ht="12.95" customHeight="1" x14ac:dyDescent="0.2">
      <c r="A439" s="126"/>
      <c r="B439" s="162" t="s">
        <v>715</v>
      </c>
      <c r="C439" s="446">
        <v>9.1999999999999998E-3</v>
      </c>
      <c r="D439" s="250" t="s">
        <v>88</v>
      </c>
      <c r="E439" s="98">
        <f>SUM(F224)</f>
        <v>4954.1690999999992</v>
      </c>
      <c r="F439" s="270">
        <f t="shared" si="7"/>
        <v>45.58</v>
      </c>
      <c r="G439" s="464"/>
      <c r="I439" s="66">
        <v>325</v>
      </c>
    </row>
    <row r="440" spans="1:16" ht="12.95" customHeight="1" x14ac:dyDescent="0.2">
      <c r="A440" s="126"/>
      <c r="B440" s="162" t="s">
        <v>716</v>
      </c>
      <c r="C440" s="446">
        <v>2.9600000000000001E-2</v>
      </c>
      <c r="D440" s="250" t="s">
        <v>297</v>
      </c>
      <c r="E440" s="98">
        <f>F378</f>
        <v>3245.28</v>
      </c>
      <c r="F440" s="270">
        <f t="shared" si="7"/>
        <v>96.06</v>
      </c>
      <c r="G440" s="464"/>
      <c r="I440" s="66">
        <f>0.0296*225.66</f>
        <v>6.6795360000000006</v>
      </c>
    </row>
    <row r="441" spans="1:16" ht="12.95" customHeight="1" x14ac:dyDescent="0.2">
      <c r="A441" s="126"/>
      <c r="B441" s="272" t="s">
        <v>688</v>
      </c>
      <c r="C441" s="446">
        <v>0.18179999999999999</v>
      </c>
      <c r="D441" s="250" t="s">
        <v>172</v>
      </c>
      <c r="E441" s="98">
        <f>F28</f>
        <v>45</v>
      </c>
      <c r="F441" s="270">
        <f t="shared" si="7"/>
        <v>8.18</v>
      </c>
      <c r="G441" s="186"/>
      <c r="I441" s="66">
        <v>6.36</v>
      </c>
    </row>
    <row r="442" spans="1:16" ht="12.95" customHeight="1" x14ac:dyDescent="0.2">
      <c r="A442" s="126"/>
      <c r="B442" s="162" t="s">
        <v>689</v>
      </c>
      <c r="C442" s="429">
        <v>2.3E-2</v>
      </c>
      <c r="D442" s="250" t="s">
        <v>343</v>
      </c>
      <c r="E442" s="98">
        <f>F42</f>
        <v>659</v>
      </c>
      <c r="F442" s="270">
        <f t="shared" si="7"/>
        <v>15.16</v>
      </c>
      <c r="G442" s="186"/>
      <c r="I442" s="66">
        <v>14.95</v>
      </c>
    </row>
    <row r="443" spans="1:16" ht="12.95" customHeight="1" x14ac:dyDescent="0.2">
      <c r="A443" s="126"/>
      <c r="B443" s="162" t="s">
        <v>705</v>
      </c>
      <c r="C443" s="98">
        <v>0.01</v>
      </c>
      <c r="D443" s="250" t="s">
        <v>88</v>
      </c>
      <c r="E443" s="98">
        <f>F42</f>
        <v>659</v>
      </c>
      <c r="F443" s="270">
        <f t="shared" si="7"/>
        <v>6.59</v>
      </c>
      <c r="I443" s="66">
        <v>6.5</v>
      </c>
      <c r="L443" s="130"/>
      <c r="M443" s="130"/>
      <c r="N443" s="465"/>
      <c r="O443" s="369"/>
      <c r="P443" s="466"/>
    </row>
    <row r="444" spans="1:16" ht="12.95" customHeight="1" x14ac:dyDescent="0.2">
      <c r="A444" s="126"/>
      <c r="B444" s="449" t="s">
        <v>717</v>
      </c>
      <c r="C444" s="140"/>
      <c r="D444" s="250"/>
      <c r="E444" s="447" t="s">
        <v>692</v>
      </c>
      <c r="F444" s="450">
        <f>SUM(F436:F443)</f>
        <v>986.91</v>
      </c>
      <c r="G444" s="260"/>
      <c r="I444" s="66">
        <f>SUM(I437:I443)</f>
        <v>866.48953600000004</v>
      </c>
      <c r="L444" s="130"/>
      <c r="M444" s="369"/>
      <c r="N444" s="465"/>
      <c r="O444" s="369"/>
      <c r="P444" s="369"/>
    </row>
    <row r="445" spans="1:16" ht="12.95" customHeight="1" x14ac:dyDescent="0.2">
      <c r="A445" s="126"/>
      <c r="B445" s="449" t="s">
        <v>718</v>
      </c>
      <c r="C445" s="140"/>
      <c r="D445" s="250"/>
      <c r="E445" s="199" t="s">
        <v>694</v>
      </c>
      <c r="F445" s="450">
        <f>F444-(F442+F441)</f>
        <v>963.56999999999994</v>
      </c>
      <c r="G445" s="260"/>
      <c r="L445" s="130"/>
      <c r="M445" s="130"/>
      <c r="N445" s="130"/>
      <c r="O445" s="155"/>
      <c r="P445" s="467"/>
    </row>
    <row r="446" spans="1:16" ht="12.95" customHeight="1" x14ac:dyDescent="0.2">
      <c r="A446" s="126"/>
      <c r="B446" s="229" t="s">
        <v>719</v>
      </c>
      <c r="C446" s="140"/>
      <c r="D446" s="250"/>
      <c r="E446" s="447" t="s">
        <v>692</v>
      </c>
      <c r="F446" s="448">
        <f>F444-(F439+F440)+((5*C439*E439)+(5*C440*E440))</f>
        <v>1553.4632185999999</v>
      </c>
      <c r="G446" s="260"/>
      <c r="L446" s="130"/>
      <c r="M446" s="130"/>
      <c r="N446" s="130"/>
      <c r="O446" s="155"/>
      <c r="P446" s="467"/>
    </row>
    <row r="447" spans="1:16" ht="12.95" customHeight="1" thickBot="1" x14ac:dyDescent="0.25">
      <c r="A447" s="142"/>
      <c r="B447" s="451" t="s">
        <v>720</v>
      </c>
      <c r="C447" s="146"/>
      <c r="D447" s="188"/>
      <c r="E447" s="236" t="s">
        <v>694</v>
      </c>
      <c r="F447" s="175">
        <f>F445-(F439+F440)+((5*C439*E439)+(5*C440*E440))</f>
        <v>1530.1232186</v>
      </c>
      <c r="G447" s="260"/>
      <c r="L447" s="130"/>
      <c r="M447" s="130"/>
      <c r="N447" s="130"/>
      <c r="O447" s="155"/>
      <c r="P447" s="467"/>
    </row>
    <row r="448" spans="1:16" ht="12.95" customHeight="1" thickTop="1" x14ac:dyDescent="0.2">
      <c r="E448" s="288"/>
      <c r="F448" s="288"/>
      <c r="G448" s="260"/>
      <c r="L448" s="130"/>
      <c r="M448" s="130"/>
      <c r="N448" s="130"/>
      <c r="O448" s="155"/>
      <c r="P448" s="467"/>
    </row>
    <row r="449" spans="1:16" ht="12.95" customHeight="1" thickBot="1" x14ac:dyDescent="0.25">
      <c r="B449" s="196" t="s">
        <v>721</v>
      </c>
      <c r="E449" s="288"/>
      <c r="F449" s="288"/>
      <c r="G449" s="260"/>
      <c r="L449" s="130"/>
      <c r="M449" s="130"/>
      <c r="N449" s="130"/>
      <c r="O449" s="155"/>
      <c r="P449" s="467"/>
    </row>
    <row r="450" spans="1:16" ht="12.95" customHeight="1" thickTop="1" x14ac:dyDescent="0.2">
      <c r="A450" s="468"/>
      <c r="B450" s="160" t="s">
        <v>722</v>
      </c>
      <c r="C450" s="92">
        <v>13</v>
      </c>
      <c r="D450" s="249" t="s">
        <v>8</v>
      </c>
      <c r="E450" s="469">
        <f>F27</f>
        <v>80</v>
      </c>
      <c r="F450" s="268">
        <f>ROUND(C450*E450,2)</f>
        <v>1040</v>
      </c>
      <c r="G450" s="260"/>
      <c r="L450" s="130"/>
      <c r="M450" s="130"/>
      <c r="N450" s="130"/>
      <c r="O450" s="155"/>
      <c r="P450" s="467"/>
    </row>
    <row r="451" spans="1:16" ht="12.95" customHeight="1" x14ac:dyDescent="0.2">
      <c r="A451" s="126"/>
      <c r="B451" s="162" t="s">
        <v>684</v>
      </c>
      <c r="C451" s="98">
        <v>13</v>
      </c>
      <c r="D451" s="250" t="s">
        <v>8</v>
      </c>
      <c r="E451" s="372">
        <v>41.62</v>
      </c>
      <c r="F451" s="270">
        <f>ROUND(C451*E451,2)</f>
        <v>541.05999999999995</v>
      </c>
      <c r="G451" s="260"/>
      <c r="L451" s="130"/>
      <c r="M451" s="130"/>
      <c r="N451" s="130"/>
      <c r="O451" s="155"/>
      <c r="P451" s="467"/>
    </row>
    <row r="452" spans="1:16" ht="12.95" customHeight="1" x14ac:dyDescent="0.2">
      <c r="A452" s="126"/>
      <c r="B452" s="162" t="s">
        <v>723</v>
      </c>
      <c r="C452" s="446">
        <v>8.6E-3</v>
      </c>
      <c r="D452" s="250" t="s">
        <v>88</v>
      </c>
      <c r="E452" s="372">
        <f>F242</f>
        <v>6481.8341999999993</v>
      </c>
      <c r="F452" s="270">
        <f>ROUND(C452*E452,2)</f>
        <v>55.74</v>
      </c>
      <c r="G452" s="186"/>
      <c r="L452" s="130"/>
      <c r="M452" s="130"/>
      <c r="N452" s="130"/>
      <c r="O452" s="155"/>
      <c r="P452" s="467"/>
    </row>
    <row r="453" spans="1:16" ht="12.95" customHeight="1" x14ac:dyDescent="0.2">
      <c r="A453" s="126"/>
      <c r="B453" s="162" t="s">
        <v>724</v>
      </c>
      <c r="C453" s="98">
        <v>0.13</v>
      </c>
      <c r="D453" s="250" t="s">
        <v>8</v>
      </c>
      <c r="E453" s="372">
        <f>+E450</f>
        <v>80</v>
      </c>
      <c r="F453" s="270">
        <f>ROUND(C453*E453,2)</f>
        <v>10.4</v>
      </c>
      <c r="G453" s="186"/>
      <c r="L453" s="130"/>
      <c r="M453" s="130"/>
      <c r="N453" s="130"/>
      <c r="O453" s="155"/>
      <c r="P453" s="467"/>
    </row>
    <row r="454" spans="1:16" ht="12.95" customHeight="1" thickBot="1" x14ac:dyDescent="0.25">
      <c r="A454" s="171"/>
      <c r="B454" s="182"/>
      <c r="C454" s="146"/>
      <c r="D454" s="188"/>
      <c r="E454" s="236" t="s">
        <v>530</v>
      </c>
      <c r="F454" s="175">
        <f>SUM(F450:F453)</f>
        <v>1647.2</v>
      </c>
      <c r="G454" s="186"/>
      <c r="L454" s="130"/>
      <c r="M454" s="130"/>
      <c r="N454" s="130"/>
      <c r="O454" s="155"/>
      <c r="P454" s="467"/>
    </row>
    <row r="455" spans="1:16" ht="12.95" customHeight="1" thickTop="1" x14ac:dyDescent="0.2">
      <c r="C455" s="132"/>
      <c r="D455" s="261"/>
      <c r="E455" s="185"/>
      <c r="F455" s="185"/>
      <c r="G455" s="260"/>
      <c r="L455" s="130"/>
      <c r="M455" s="130"/>
      <c r="N455" s="130"/>
      <c r="O455" s="155"/>
      <c r="P455" s="467"/>
    </row>
    <row r="456" spans="1:16" ht="12.95" customHeight="1" thickBot="1" x14ac:dyDescent="0.25">
      <c r="B456" s="470" t="s">
        <v>170</v>
      </c>
      <c r="C456" s="471"/>
      <c r="D456" s="472"/>
      <c r="E456" s="473"/>
      <c r="F456" s="474"/>
      <c r="G456" s="260"/>
      <c r="L456" s="130"/>
      <c r="M456" s="130"/>
      <c r="N456" s="130"/>
      <c r="O456" s="155"/>
      <c r="P456" s="467"/>
    </row>
    <row r="457" spans="1:16" ht="12.95" customHeight="1" thickTop="1" x14ac:dyDescent="0.2">
      <c r="A457" s="134"/>
      <c r="B457" s="475" t="s">
        <v>725</v>
      </c>
      <c r="C457" s="476">
        <v>0.2</v>
      </c>
      <c r="D457" s="477" t="s">
        <v>124</v>
      </c>
      <c r="E457" s="478">
        <f>+F417</f>
        <v>1361.6200000000001</v>
      </c>
      <c r="F457" s="479">
        <f>ROUND(C457*E457,2)</f>
        <v>272.32</v>
      </c>
      <c r="G457" s="260"/>
      <c r="L457" s="130"/>
      <c r="M457" s="130"/>
      <c r="N457" s="130"/>
      <c r="O457" s="155"/>
      <c r="P457" s="467"/>
    </row>
    <row r="458" spans="1:16" ht="12.95" customHeight="1" x14ac:dyDescent="0.2">
      <c r="A458" s="126"/>
      <c r="B458" s="480" t="s">
        <v>726</v>
      </c>
      <c r="C458" s="481">
        <v>0.4</v>
      </c>
      <c r="D458" s="482" t="s">
        <v>124</v>
      </c>
      <c r="E458" s="483">
        <f>F311</f>
        <v>380.97</v>
      </c>
      <c r="F458" s="484">
        <f>ROUND(C458*E458,2)</f>
        <v>152.38999999999999</v>
      </c>
      <c r="G458" s="260"/>
      <c r="L458" s="130"/>
      <c r="M458" s="130"/>
      <c r="N458" s="130"/>
      <c r="O458" s="155"/>
      <c r="P458" s="467"/>
    </row>
    <row r="459" spans="1:16" ht="12.95" customHeight="1" x14ac:dyDescent="0.2">
      <c r="A459" s="126"/>
      <c r="B459" s="480" t="s">
        <v>127</v>
      </c>
      <c r="C459" s="481">
        <v>2</v>
      </c>
      <c r="D459" s="482" t="s">
        <v>41</v>
      </c>
      <c r="E459" s="483">
        <f>F356</f>
        <v>97.18</v>
      </c>
      <c r="F459" s="484">
        <f>ROUND(C459*E459,2)</f>
        <v>194.36</v>
      </c>
      <c r="G459" s="260"/>
      <c r="L459" s="130"/>
      <c r="M459" s="130"/>
      <c r="N459" s="130"/>
      <c r="O459" s="155"/>
      <c r="P459" s="467"/>
    </row>
    <row r="460" spans="1:16" ht="12.95" customHeight="1" thickBot="1" x14ac:dyDescent="0.25">
      <c r="A460" s="142"/>
      <c r="B460" s="485"/>
      <c r="C460" s="486"/>
      <c r="D460" s="487"/>
      <c r="E460" s="488" t="s">
        <v>727</v>
      </c>
      <c r="F460" s="489">
        <f>ROUND(SUM(F457:F459),2)</f>
        <v>619.07000000000005</v>
      </c>
      <c r="G460" s="260"/>
      <c r="L460" s="130"/>
      <c r="M460" s="130"/>
      <c r="N460" s="130"/>
      <c r="O460" s="155"/>
      <c r="P460" s="467"/>
    </row>
    <row r="461" spans="1:16" ht="12.95" customHeight="1" thickTop="1" x14ac:dyDescent="0.2">
      <c r="C461" s="132"/>
      <c r="D461" s="261"/>
      <c r="E461" s="185"/>
      <c r="F461" s="185"/>
      <c r="G461" s="260"/>
      <c r="L461" s="130"/>
      <c r="M461" s="130"/>
      <c r="N461" s="130"/>
      <c r="O461" s="155"/>
      <c r="P461" s="467"/>
    </row>
    <row r="462" spans="1:16" ht="12.95" customHeight="1" thickBot="1" x14ac:dyDescent="0.25">
      <c r="B462" s="196" t="s">
        <v>728</v>
      </c>
      <c r="G462" s="186"/>
    </row>
    <row r="463" spans="1:16" ht="12.95" customHeight="1" thickTop="1" x14ac:dyDescent="0.2">
      <c r="A463" s="134"/>
      <c r="B463" s="160" t="s">
        <v>729</v>
      </c>
      <c r="C463" s="92">
        <v>1</v>
      </c>
      <c r="D463" s="249" t="s">
        <v>124</v>
      </c>
      <c r="E463" s="92">
        <v>10</v>
      </c>
      <c r="F463" s="268">
        <f>ROUND(C463*E463,2)</f>
        <v>10</v>
      </c>
      <c r="G463" s="260"/>
    </row>
    <row r="464" spans="1:16" ht="12.95" customHeight="1" x14ac:dyDescent="0.2">
      <c r="A464" s="126"/>
      <c r="B464" s="162" t="s">
        <v>730</v>
      </c>
      <c r="C464" s="490">
        <v>0.105</v>
      </c>
      <c r="D464" s="250" t="s">
        <v>88</v>
      </c>
      <c r="E464" s="98">
        <f>F195</f>
        <v>6278.2195999999994</v>
      </c>
      <c r="F464" s="270">
        <f>ROUND(C464*E464,2)</f>
        <v>659.21</v>
      </c>
      <c r="G464" s="260"/>
    </row>
    <row r="465" spans="1:16" ht="12.95" customHeight="1" x14ac:dyDescent="0.2">
      <c r="A465" s="126"/>
      <c r="B465" s="162" t="s">
        <v>643</v>
      </c>
      <c r="C465" s="429">
        <v>2.1999999999999999E-2</v>
      </c>
      <c r="D465" s="250" t="s">
        <v>172</v>
      </c>
      <c r="E465" s="98">
        <f>F28</f>
        <v>45</v>
      </c>
      <c r="F465" s="270">
        <f>ROUND(C465*E465,2)</f>
        <v>0.99</v>
      </c>
      <c r="G465" s="260"/>
    </row>
    <row r="466" spans="1:16" ht="12.95" customHeight="1" x14ac:dyDescent="0.2">
      <c r="A466" s="126"/>
      <c r="B466" s="162" t="s">
        <v>731</v>
      </c>
      <c r="C466" s="98">
        <v>1</v>
      </c>
      <c r="D466" s="250" t="s">
        <v>124</v>
      </c>
      <c r="E466" s="98">
        <f>'[29]LIST.  M.O.'!F151</f>
        <v>151.84</v>
      </c>
      <c r="F466" s="270">
        <f>ROUND(C466*E466,2)</f>
        <v>151.84</v>
      </c>
      <c r="G466" s="260"/>
    </row>
    <row r="467" spans="1:16" ht="12.95" customHeight="1" x14ac:dyDescent="0.2">
      <c r="A467" s="126"/>
      <c r="B467" s="162" t="s">
        <v>732</v>
      </c>
      <c r="C467" s="491"/>
      <c r="D467" s="492"/>
      <c r="E467" s="491"/>
      <c r="F467" s="493">
        <f>ROUND(C467*E467,2)</f>
        <v>0</v>
      </c>
      <c r="G467" s="260"/>
    </row>
    <row r="468" spans="1:16" ht="12.95" customHeight="1" thickBot="1" x14ac:dyDescent="0.25">
      <c r="A468" s="142"/>
      <c r="B468" s="182"/>
      <c r="C468" s="146"/>
      <c r="D468" s="188"/>
      <c r="E468" s="236" t="s">
        <v>530</v>
      </c>
      <c r="F468" s="175">
        <f>SUM(F463:F467)</f>
        <v>822.04000000000008</v>
      </c>
      <c r="G468" s="260"/>
    </row>
    <row r="469" spans="1:16" ht="12.95" customHeight="1" thickTop="1" x14ac:dyDescent="0.2">
      <c r="B469" s="196" t="s">
        <v>733</v>
      </c>
      <c r="C469" s="428"/>
      <c r="D469" s="261"/>
      <c r="E469" s="185"/>
      <c r="F469" s="263">
        <f>(F468-F467)+(E467*(1/0.6))</f>
        <v>822.04000000000008</v>
      </c>
      <c r="G469" s="186"/>
    </row>
    <row r="470" spans="1:16" ht="12.95" customHeight="1" x14ac:dyDescent="0.2">
      <c r="B470" s="196" t="s">
        <v>734</v>
      </c>
      <c r="C470" s="428"/>
      <c r="D470" s="261"/>
      <c r="E470" s="185"/>
      <c r="F470" s="494">
        <f>$F$468-$F$467+($E$467*1/1)</f>
        <v>822.04000000000008</v>
      </c>
      <c r="G470" s="186"/>
    </row>
    <row r="471" spans="1:16" s="130" customFormat="1" ht="12.95" customHeight="1" x14ac:dyDescent="0.2">
      <c r="C471" s="132"/>
      <c r="D471" s="261"/>
      <c r="E471" s="132"/>
      <c r="F471" s="132"/>
      <c r="G471" s="260"/>
      <c r="H471" s="66"/>
      <c r="I471" s="66"/>
      <c r="J471" s="67"/>
      <c r="K471" s="68"/>
      <c r="O471" s="155"/>
      <c r="P471" s="467"/>
    </row>
    <row r="472" spans="1:16" s="130" customFormat="1" ht="12.95" customHeight="1" thickBot="1" x14ac:dyDescent="0.25">
      <c r="B472" s="196" t="s">
        <v>735</v>
      </c>
      <c r="C472" s="132"/>
      <c r="D472" s="261"/>
      <c r="E472" s="185"/>
      <c r="F472" s="185"/>
      <c r="G472" s="260"/>
      <c r="H472" s="66"/>
      <c r="I472" s="66"/>
      <c r="J472" s="67"/>
      <c r="K472" s="68"/>
      <c r="O472" s="155"/>
      <c r="P472" s="467"/>
    </row>
    <row r="473" spans="1:16" s="130" customFormat="1" ht="12.95" customHeight="1" thickTop="1" x14ac:dyDescent="0.2">
      <c r="A473" s="134"/>
      <c r="B473" s="160" t="s">
        <v>736</v>
      </c>
      <c r="C473" s="425">
        <v>8.4000000000000005E-2</v>
      </c>
      <c r="D473" s="495" t="s">
        <v>88</v>
      </c>
      <c r="E473" s="92">
        <f>F224</f>
        <v>4954.1690999999992</v>
      </c>
      <c r="F473" s="268">
        <f t="shared" ref="F473:F478" si="8">ROUND(C473*E473,2)</f>
        <v>416.15</v>
      </c>
      <c r="G473" s="260"/>
      <c r="H473" s="66"/>
      <c r="I473" s="66"/>
      <c r="J473" s="67"/>
      <c r="K473" s="68"/>
      <c r="O473" s="155"/>
      <c r="P473" s="467"/>
    </row>
    <row r="474" spans="1:16" ht="12.95" customHeight="1" x14ac:dyDescent="0.2">
      <c r="A474" s="126"/>
      <c r="B474" s="496" t="s">
        <v>737</v>
      </c>
      <c r="C474" s="497">
        <v>2.1999999999999999E-2</v>
      </c>
      <c r="D474" s="498" t="s">
        <v>88</v>
      </c>
      <c r="E474" s="499">
        <f>F242</f>
        <v>6481.8341999999993</v>
      </c>
      <c r="F474" s="270">
        <f t="shared" si="8"/>
        <v>142.6</v>
      </c>
      <c r="G474" s="260"/>
      <c r="L474" s="130"/>
      <c r="M474" s="130"/>
      <c r="N474" s="130"/>
      <c r="O474" s="155"/>
      <c r="P474" s="467"/>
    </row>
    <row r="475" spans="1:16" ht="12.95" customHeight="1" x14ac:dyDescent="0.2">
      <c r="A475" s="126"/>
      <c r="B475" s="162" t="s">
        <v>643</v>
      </c>
      <c r="C475" s="490">
        <v>8.7999999999999995E-2</v>
      </c>
      <c r="D475" s="500" t="s">
        <v>172</v>
      </c>
      <c r="E475" s="499">
        <f>F28</f>
        <v>45</v>
      </c>
      <c r="F475" s="270">
        <f t="shared" si="8"/>
        <v>3.96</v>
      </c>
      <c r="G475" s="186"/>
      <c r="L475" s="130"/>
      <c r="M475" s="130"/>
      <c r="N475" s="130"/>
      <c r="O475" s="155"/>
      <c r="P475" s="467"/>
    </row>
    <row r="476" spans="1:16" ht="12.95" customHeight="1" x14ac:dyDescent="0.2">
      <c r="A476" s="126"/>
      <c r="B476" s="162" t="s">
        <v>738</v>
      </c>
      <c r="C476" s="98">
        <v>1</v>
      </c>
      <c r="D476" s="250" t="s">
        <v>124</v>
      </c>
      <c r="E476" s="98">
        <v>98.5</v>
      </c>
      <c r="F476" s="270">
        <f t="shared" si="8"/>
        <v>98.5</v>
      </c>
      <c r="G476" s="260"/>
      <c r="L476" s="130"/>
      <c r="M476" s="130"/>
      <c r="N476" s="130"/>
      <c r="O476" s="155"/>
      <c r="P476" s="467"/>
    </row>
    <row r="477" spans="1:16" ht="12.95" customHeight="1" x14ac:dyDescent="0.2">
      <c r="A477" s="126"/>
      <c r="B477" s="162" t="s">
        <v>732</v>
      </c>
      <c r="C477" s="98">
        <v>0.8</v>
      </c>
      <c r="D477" s="250" t="s">
        <v>41</v>
      </c>
      <c r="E477" s="98">
        <f>F356</f>
        <v>97.18</v>
      </c>
      <c r="F477" s="270">
        <f t="shared" si="8"/>
        <v>77.739999999999995</v>
      </c>
      <c r="G477" s="186"/>
      <c r="L477" s="130"/>
      <c r="M477" s="130"/>
      <c r="N477" s="130"/>
      <c r="O477" s="155"/>
      <c r="P477" s="467"/>
    </row>
    <row r="478" spans="1:16" ht="12.95" customHeight="1" x14ac:dyDescent="0.2">
      <c r="A478" s="126"/>
      <c r="B478" s="162" t="s">
        <v>739</v>
      </c>
      <c r="C478" s="98">
        <v>0.04</v>
      </c>
      <c r="D478" s="250" t="s">
        <v>503</v>
      </c>
      <c r="E478" s="98">
        <f>F68</f>
        <v>400.56270000000006</v>
      </c>
      <c r="F478" s="270">
        <f t="shared" si="8"/>
        <v>16.02</v>
      </c>
      <c r="G478" s="464"/>
      <c r="L478" s="130"/>
      <c r="M478" s="130"/>
      <c r="N478" s="130"/>
      <c r="O478" s="155"/>
      <c r="P478" s="467"/>
    </row>
    <row r="479" spans="1:16" ht="12.95" customHeight="1" thickBot="1" x14ac:dyDescent="0.25">
      <c r="A479" s="142"/>
      <c r="B479" s="182"/>
      <c r="C479" s="146"/>
      <c r="D479" s="188"/>
      <c r="E479" s="236" t="s">
        <v>530</v>
      </c>
      <c r="F479" s="175">
        <f>SUM(F473:F478)</f>
        <v>754.97</v>
      </c>
      <c r="G479" s="464"/>
      <c r="L479" s="130"/>
      <c r="M479" s="130"/>
      <c r="N479" s="130"/>
      <c r="O479" s="155"/>
      <c r="P479" s="467"/>
    </row>
    <row r="480" spans="1:16" ht="12.95" customHeight="1" thickTop="1" thickBot="1" x14ac:dyDescent="0.25">
      <c r="C480" s="132"/>
      <c r="D480" s="261"/>
      <c r="E480" s="132"/>
      <c r="F480" s="132"/>
      <c r="G480" s="464"/>
      <c r="L480" s="130"/>
      <c r="M480" s="130"/>
      <c r="N480" s="130"/>
      <c r="O480" s="155"/>
      <c r="P480" s="467"/>
    </row>
    <row r="481" spans="1:16" ht="12.95" customHeight="1" thickTop="1" x14ac:dyDescent="0.2">
      <c r="A481" s="134"/>
      <c r="B481" s="135" t="s">
        <v>740</v>
      </c>
      <c r="C481" s="501">
        <v>1</v>
      </c>
      <c r="D481" s="502" t="s">
        <v>354</v>
      </c>
      <c r="E481" s="92"/>
      <c r="F481" s="94"/>
      <c r="G481" s="294"/>
      <c r="H481" s="294"/>
      <c r="I481" s="294"/>
      <c r="J481" s="296"/>
      <c r="K481" s="297"/>
      <c r="L481" s="130"/>
      <c r="M481" s="130"/>
      <c r="N481" s="130"/>
      <c r="O481" s="155"/>
      <c r="P481" s="467"/>
    </row>
    <row r="482" spans="1:16" ht="12.95" customHeight="1" x14ac:dyDescent="0.2">
      <c r="A482" s="126"/>
      <c r="B482" s="114" t="s">
        <v>741</v>
      </c>
      <c r="C482" s="115"/>
      <c r="D482" s="110"/>
      <c r="E482" s="116"/>
      <c r="F482" s="117"/>
      <c r="G482" s="294"/>
      <c r="H482" s="294"/>
      <c r="I482" s="294"/>
      <c r="J482" s="296"/>
      <c r="K482" s="297"/>
      <c r="L482" s="130"/>
      <c r="M482" s="130"/>
      <c r="N482" s="130"/>
      <c r="O482" s="155"/>
      <c r="P482" s="467"/>
    </row>
    <row r="483" spans="1:16" ht="12.95" customHeight="1" x14ac:dyDescent="0.2">
      <c r="A483" s="126"/>
      <c r="B483" s="116" t="s">
        <v>361</v>
      </c>
      <c r="C483" s="120">
        <f>IF(C481&lt;5,C481,5)</f>
        <v>1</v>
      </c>
      <c r="D483" s="121" t="s">
        <v>354</v>
      </c>
      <c r="E483" s="122">
        <v>21.34</v>
      </c>
      <c r="F483" s="123">
        <f>ROUND(E483*C483,2)</f>
        <v>21.34</v>
      </c>
      <c r="G483" s="294"/>
      <c r="H483" s="294"/>
      <c r="I483" s="294"/>
      <c r="J483" s="296"/>
      <c r="K483" s="297"/>
      <c r="L483" s="130"/>
      <c r="M483" s="130"/>
      <c r="N483" s="130"/>
      <c r="O483" s="155"/>
      <c r="P483" s="467"/>
    </row>
    <row r="484" spans="1:16" ht="12.95" customHeight="1" x14ac:dyDescent="0.2">
      <c r="A484" s="126"/>
      <c r="B484" s="116" t="s">
        <v>362</v>
      </c>
      <c r="C484" s="120">
        <f>IF(AND(C481&gt;5,C481&lt;=10),C481-5,IF(C481&gt;10,5,0))</f>
        <v>0</v>
      </c>
      <c r="D484" s="121" t="s">
        <v>354</v>
      </c>
      <c r="E484" s="122">
        <v>16.57</v>
      </c>
      <c r="F484" s="123">
        <f>ROUND(E484*C484,2)</f>
        <v>0</v>
      </c>
      <c r="G484" s="294"/>
      <c r="H484" s="294"/>
      <c r="I484" s="294"/>
      <c r="J484" s="296"/>
      <c r="K484" s="297"/>
      <c r="L484" s="130"/>
      <c r="M484" s="130"/>
      <c r="N484" s="130"/>
      <c r="O484" s="155"/>
      <c r="P484" s="467"/>
    </row>
    <row r="485" spans="1:16" ht="12.95" customHeight="1" x14ac:dyDescent="0.2">
      <c r="A485" s="126"/>
      <c r="B485" s="116" t="s">
        <v>363</v>
      </c>
      <c r="C485" s="120">
        <f>IF(AND(C481&gt;10,C481&lt;=20),C481-10,IF(C481&gt;20,10,0))</f>
        <v>0</v>
      </c>
      <c r="D485" s="121" t="s">
        <v>354</v>
      </c>
      <c r="E485" s="122">
        <v>15.7</v>
      </c>
      <c r="F485" s="123">
        <f>ROUND(E485*C485,2)</f>
        <v>0</v>
      </c>
      <c r="G485" s="294"/>
      <c r="H485" s="294"/>
      <c r="I485" s="294"/>
      <c r="J485" s="296"/>
      <c r="K485" s="297"/>
      <c r="L485" s="130"/>
      <c r="M485" s="130"/>
      <c r="N485" s="130"/>
      <c r="O485" s="155"/>
      <c r="P485" s="467"/>
    </row>
    <row r="486" spans="1:16" ht="12.95" customHeight="1" x14ac:dyDescent="0.2">
      <c r="A486" s="126"/>
      <c r="B486" s="116" t="s">
        <v>364</v>
      </c>
      <c r="C486" s="120">
        <f>IF(C481&gt;20,C481-20,0)</f>
        <v>0</v>
      </c>
      <c r="D486" s="121" t="s">
        <v>354</v>
      </c>
      <c r="E486" s="122">
        <v>15.41</v>
      </c>
      <c r="F486" s="123">
        <f>ROUND(E486*C486,2)</f>
        <v>0</v>
      </c>
      <c r="G486" s="294"/>
      <c r="H486" s="294"/>
      <c r="I486" s="294"/>
      <c r="J486" s="296"/>
      <c r="K486" s="297"/>
      <c r="L486" s="130"/>
      <c r="M486" s="130"/>
      <c r="N486" s="130"/>
      <c r="O486" s="155"/>
      <c r="P486" s="467"/>
    </row>
    <row r="487" spans="1:16" ht="12.95" customHeight="1" thickBot="1" x14ac:dyDescent="0.25">
      <c r="A487" s="142"/>
      <c r="B487" s="503"/>
      <c r="C487" s="503"/>
      <c r="D487" s="504" t="s">
        <v>365</v>
      </c>
      <c r="E487" s="505">
        <f>F487/C481</f>
        <v>21.34</v>
      </c>
      <c r="F487" s="506">
        <f>SUM(F483:F486)</f>
        <v>21.34</v>
      </c>
      <c r="G487" s="294"/>
      <c r="H487" s="294"/>
      <c r="I487" s="294"/>
      <c r="J487" s="296"/>
      <c r="K487" s="297"/>
      <c r="L487" s="130"/>
      <c r="M487" s="130"/>
      <c r="N487" s="130"/>
      <c r="O487" s="155"/>
      <c r="P487" s="467"/>
    </row>
    <row r="488" spans="1:16" ht="12.95" customHeight="1" thickTop="1" x14ac:dyDescent="0.2">
      <c r="C488" s="132"/>
      <c r="D488" s="261"/>
      <c r="E488" s="132"/>
      <c r="F488" s="132"/>
      <c r="G488" s="294"/>
      <c r="H488" s="294"/>
      <c r="I488" s="294"/>
      <c r="J488" s="296"/>
      <c r="K488" s="297"/>
      <c r="L488" s="130"/>
      <c r="M488" s="130"/>
      <c r="N488" s="130"/>
      <c r="O488" s="155"/>
      <c r="P488" s="467"/>
    </row>
    <row r="489" spans="1:16" ht="12.95" customHeight="1" thickBot="1" x14ac:dyDescent="0.3">
      <c r="B489" s="507" t="s">
        <v>742</v>
      </c>
      <c r="C489" s="508"/>
      <c r="D489" s="509"/>
      <c r="E489" s="510"/>
      <c r="F489" s="511"/>
      <c r="G489" s="294"/>
      <c r="H489" s="294"/>
      <c r="I489" s="294"/>
      <c r="J489" s="296"/>
      <c r="K489" s="297"/>
      <c r="L489" s="130"/>
      <c r="M489" s="130"/>
      <c r="N489" s="130"/>
      <c r="O489" s="155"/>
      <c r="P489" s="467"/>
    </row>
    <row r="490" spans="1:16" ht="12.95" customHeight="1" thickTop="1" x14ac:dyDescent="0.2">
      <c r="A490" s="134"/>
      <c r="B490" s="512" t="s">
        <v>743</v>
      </c>
      <c r="C490" s="513">
        <v>1</v>
      </c>
      <c r="D490" s="514" t="s">
        <v>88</v>
      </c>
      <c r="E490" s="513">
        <v>150</v>
      </c>
      <c r="F490" s="515">
        <f>ROUND(C490*E490,2)</f>
        <v>150</v>
      </c>
      <c r="G490" s="294"/>
      <c r="H490" s="294"/>
      <c r="I490" s="294"/>
      <c r="J490" s="296"/>
      <c r="K490" s="297"/>
      <c r="L490" s="130"/>
      <c r="M490" s="130"/>
      <c r="N490" s="130"/>
      <c r="O490" s="155"/>
      <c r="P490" s="467"/>
    </row>
    <row r="491" spans="1:16" ht="12.95" customHeight="1" x14ac:dyDescent="0.2">
      <c r="A491" s="126"/>
      <c r="B491" s="516" t="s">
        <v>375</v>
      </c>
      <c r="C491" s="517">
        <f>C481</f>
        <v>1</v>
      </c>
      <c r="D491" s="518" t="s">
        <v>354</v>
      </c>
      <c r="E491" s="517">
        <f>E487</f>
        <v>21.34</v>
      </c>
      <c r="F491" s="519">
        <f>ROUND(C491*E491,2)</f>
        <v>21.34</v>
      </c>
      <c r="G491" s="294"/>
      <c r="H491" s="294"/>
      <c r="I491" s="294"/>
      <c r="J491" s="296"/>
      <c r="K491" s="297"/>
      <c r="L491" s="130"/>
      <c r="M491" s="130"/>
      <c r="N491" s="130"/>
      <c r="O491" s="155"/>
      <c r="P491" s="467"/>
    </row>
    <row r="492" spans="1:16" ht="12.95" customHeight="1" thickBot="1" x14ac:dyDescent="0.25">
      <c r="A492" s="142"/>
      <c r="B492" s="520"/>
      <c r="C492" s="521"/>
      <c r="D492" s="522"/>
      <c r="E492" s="523" t="s">
        <v>530</v>
      </c>
      <c r="F492" s="524">
        <f>SUM(F490:F491)</f>
        <v>171.34</v>
      </c>
      <c r="G492" s="294"/>
      <c r="H492" s="294"/>
      <c r="I492" s="294"/>
      <c r="J492" s="296"/>
      <c r="K492" s="297"/>
      <c r="L492" s="130"/>
      <c r="M492" s="130"/>
      <c r="N492" s="130"/>
      <c r="O492" s="155"/>
      <c r="P492" s="467"/>
    </row>
    <row r="493" spans="1:16" ht="12.95" customHeight="1" thickTop="1" x14ac:dyDescent="0.2">
      <c r="A493" s="134"/>
      <c r="B493" s="512" t="s">
        <v>744</v>
      </c>
      <c r="C493" s="513">
        <v>4.5999999999999996</v>
      </c>
      <c r="D493" s="525" t="s">
        <v>503</v>
      </c>
      <c r="E493" s="526">
        <f>F14</f>
        <v>395</v>
      </c>
      <c r="F493" s="515">
        <f>ROUND(C493*E493,2)</f>
        <v>1817</v>
      </c>
      <c r="G493" s="294"/>
      <c r="H493" s="294"/>
      <c r="I493" s="294"/>
      <c r="J493" s="296"/>
      <c r="K493" s="297"/>
      <c r="L493" s="130"/>
      <c r="M493" s="130"/>
      <c r="N493" s="130"/>
      <c r="O493" s="155"/>
      <c r="P493" s="467"/>
    </row>
    <row r="494" spans="1:16" ht="12.95" customHeight="1" x14ac:dyDescent="0.2">
      <c r="A494" s="126"/>
      <c r="B494" s="527" t="s">
        <v>745</v>
      </c>
      <c r="C494" s="528">
        <v>1</v>
      </c>
      <c r="D494" s="518" t="s">
        <v>88</v>
      </c>
      <c r="E494" s="529">
        <f>F492</f>
        <v>171.34</v>
      </c>
      <c r="F494" s="519">
        <f t="shared" ref="F494:F500" si="9">ROUND(C494*E494,2)</f>
        <v>171.34</v>
      </c>
      <c r="G494" s="294"/>
      <c r="H494" s="294"/>
      <c r="I494" s="294"/>
      <c r="J494" s="296"/>
      <c r="K494" s="297"/>
      <c r="L494" s="130"/>
      <c r="M494" s="130"/>
      <c r="N494" s="130"/>
      <c r="O494" s="155"/>
      <c r="P494" s="467"/>
    </row>
    <row r="495" spans="1:16" ht="12.95" customHeight="1" x14ac:dyDescent="0.2">
      <c r="A495" s="126"/>
      <c r="B495" s="516" t="s">
        <v>287</v>
      </c>
      <c r="C495" s="517">
        <v>0.4</v>
      </c>
      <c r="D495" s="530" t="s">
        <v>88</v>
      </c>
      <c r="E495" s="529">
        <f>F100</f>
        <v>1236.76</v>
      </c>
      <c r="F495" s="519">
        <f t="shared" si="9"/>
        <v>494.7</v>
      </c>
      <c r="G495" s="294"/>
      <c r="H495" s="294"/>
      <c r="I495" s="294"/>
      <c r="J495" s="296"/>
      <c r="K495" s="297"/>
      <c r="L495" s="130"/>
      <c r="M495" s="130"/>
      <c r="N495" s="130"/>
      <c r="O495" s="155"/>
      <c r="P495" s="467"/>
    </row>
    <row r="496" spans="1:16" ht="12.95" customHeight="1" x14ac:dyDescent="0.2">
      <c r="A496" s="126"/>
      <c r="B496" s="516" t="s">
        <v>273</v>
      </c>
      <c r="C496" s="517">
        <v>27.62</v>
      </c>
      <c r="D496" s="518" t="s">
        <v>274</v>
      </c>
      <c r="E496" s="531">
        <f>F13</f>
        <v>3</v>
      </c>
      <c r="F496" s="519">
        <f t="shared" si="9"/>
        <v>82.86</v>
      </c>
      <c r="G496" s="294"/>
      <c r="H496" s="294"/>
      <c r="I496" s="294"/>
      <c r="J496" s="296"/>
      <c r="K496" s="297"/>
      <c r="L496" s="130"/>
      <c r="M496" s="130"/>
      <c r="N496" s="130"/>
      <c r="O496" s="155"/>
      <c r="P496" s="467"/>
    </row>
    <row r="497" spans="1:16" ht="12.95" customHeight="1" x14ac:dyDescent="0.2">
      <c r="A497" s="126"/>
      <c r="B497" s="516" t="s">
        <v>746</v>
      </c>
      <c r="C497" s="517">
        <v>1</v>
      </c>
      <c r="D497" s="518" t="s">
        <v>155</v>
      </c>
      <c r="E497" s="531">
        <v>45</v>
      </c>
      <c r="F497" s="519">
        <f t="shared" si="9"/>
        <v>45</v>
      </c>
      <c r="G497" s="294"/>
      <c r="H497" s="294"/>
      <c r="I497" s="294"/>
      <c r="J497" s="296"/>
      <c r="K497" s="297"/>
      <c r="L497" s="130"/>
      <c r="M497" s="130"/>
      <c r="N497" s="130"/>
      <c r="O497" s="155"/>
      <c r="P497" s="467"/>
    </row>
    <row r="498" spans="1:16" ht="12.95" customHeight="1" x14ac:dyDescent="0.2">
      <c r="A498" s="126"/>
      <c r="B498" s="532" t="s">
        <v>528</v>
      </c>
      <c r="C498" s="533"/>
      <c r="D498" s="534"/>
      <c r="E498" s="535"/>
      <c r="F498" s="536"/>
      <c r="G498" s="294"/>
      <c r="H498" s="294"/>
      <c r="I498" s="294"/>
      <c r="J498" s="296"/>
      <c r="K498" s="297"/>
      <c r="L498" s="130"/>
      <c r="M498" s="130"/>
      <c r="N498" s="130"/>
      <c r="O498" s="155"/>
      <c r="P498" s="467"/>
    </row>
    <row r="499" spans="1:16" ht="12.95" customHeight="1" x14ac:dyDescent="0.2">
      <c r="A499" s="126"/>
      <c r="B499" s="516" t="s">
        <v>747</v>
      </c>
      <c r="C499" s="517">
        <v>1</v>
      </c>
      <c r="D499" s="518" t="s">
        <v>88</v>
      </c>
      <c r="E499" s="531">
        <v>350</v>
      </c>
      <c r="F499" s="519">
        <f t="shared" si="9"/>
        <v>350</v>
      </c>
      <c r="G499" s="294"/>
      <c r="H499" s="294"/>
      <c r="I499" s="294"/>
      <c r="J499" s="296"/>
      <c r="K499" s="297"/>
      <c r="L499" s="130"/>
      <c r="M499" s="130"/>
      <c r="N499" s="130"/>
      <c r="O499" s="155"/>
      <c r="P499" s="467"/>
    </row>
    <row r="500" spans="1:16" ht="12.95" customHeight="1" x14ac:dyDescent="0.2">
      <c r="A500" s="126"/>
      <c r="B500" s="537" t="s">
        <v>748</v>
      </c>
      <c r="C500" s="538">
        <v>0.2</v>
      </c>
      <c r="D500" s="539" t="s">
        <v>88</v>
      </c>
      <c r="E500" s="540">
        <v>350</v>
      </c>
      <c r="F500" s="519">
        <f t="shared" si="9"/>
        <v>70</v>
      </c>
      <c r="G500" s="294"/>
      <c r="H500" s="294"/>
      <c r="I500" s="294"/>
      <c r="J500" s="296"/>
      <c r="K500" s="297"/>
      <c r="L500" s="130"/>
      <c r="M500" s="130"/>
      <c r="N500" s="130"/>
      <c r="O500" s="155"/>
      <c r="P500" s="467"/>
    </row>
    <row r="501" spans="1:16" ht="12.95" customHeight="1" thickBot="1" x14ac:dyDescent="0.25">
      <c r="A501" s="142"/>
      <c r="B501" s="520"/>
      <c r="C501" s="521"/>
      <c r="D501" s="522"/>
      <c r="E501" s="541" t="s">
        <v>749</v>
      </c>
      <c r="F501" s="542">
        <f>SUM(F493:F500)</f>
        <v>3030.9</v>
      </c>
      <c r="G501" s="294"/>
      <c r="H501" s="294"/>
      <c r="I501" s="294"/>
      <c r="J501" s="296"/>
      <c r="K501" s="297"/>
      <c r="L501" s="130"/>
      <c r="M501" s="130"/>
      <c r="N501" s="130"/>
      <c r="O501" s="155"/>
      <c r="P501" s="467"/>
    </row>
    <row r="502" spans="1:16" ht="12.95" customHeight="1" thickTop="1" x14ac:dyDescent="0.2">
      <c r="A502" s="134"/>
      <c r="B502" s="543" t="s">
        <v>750</v>
      </c>
      <c r="C502" s="410">
        <v>0.15</v>
      </c>
      <c r="D502" s="395" t="s">
        <v>41</v>
      </c>
      <c r="E502" s="544" t="s">
        <v>751</v>
      </c>
      <c r="F502" s="545">
        <f>ROUND(C502*$F$501,2)</f>
        <v>454.64</v>
      </c>
      <c r="G502" s="294"/>
      <c r="H502" s="294"/>
      <c r="I502" s="294"/>
      <c r="J502" s="296"/>
      <c r="K502" s="297"/>
      <c r="L502" s="130"/>
      <c r="M502" s="130"/>
      <c r="N502" s="130"/>
      <c r="O502" s="155"/>
      <c r="P502" s="467"/>
    </row>
    <row r="503" spans="1:16" ht="12.95" customHeight="1" x14ac:dyDescent="0.2">
      <c r="A503" s="126"/>
      <c r="B503" s="546" t="s">
        <v>750</v>
      </c>
      <c r="C503" s="412">
        <v>0.2</v>
      </c>
      <c r="D503" s="398" t="s">
        <v>41</v>
      </c>
      <c r="E503" s="547" t="s">
        <v>751</v>
      </c>
      <c r="F503" s="548">
        <f>ROUND(C503*$F$501,2)</f>
        <v>606.17999999999995</v>
      </c>
      <c r="G503" s="294"/>
      <c r="H503" s="294"/>
      <c r="I503" s="294"/>
      <c r="J503" s="296"/>
      <c r="K503" s="297"/>
      <c r="L503" s="130"/>
      <c r="M503" s="130"/>
      <c r="N503" s="130"/>
      <c r="O503" s="155"/>
      <c r="P503" s="467"/>
    </row>
    <row r="504" spans="1:16" ht="12.95" customHeight="1" thickBot="1" x14ac:dyDescent="0.25">
      <c r="A504" s="142"/>
      <c r="B504" s="549" t="s">
        <v>750</v>
      </c>
      <c r="C504" s="550">
        <v>0.3</v>
      </c>
      <c r="D504" s="402" t="s">
        <v>41</v>
      </c>
      <c r="E504" s="551" t="s">
        <v>751</v>
      </c>
      <c r="F504" s="552">
        <f>ROUND(C504*$F$501,2)</f>
        <v>909.27</v>
      </c>
      <c r="G504" s="294"/>
      <c r="H504" s="294"/>
      <c r="I504" s="294"/>
      <c r="J504" s="296"/>
      <c r="K504" s="297"/>
      <c r="L504" s="130"/>
      <c r="M504" s="130"/>
      <c r="N504" s="130"/>
      <c r="O504" s="155"/>
      <c r="P504" s="467"/>
    </row>
    <row r="505" spans="1:16" ht="12.95" customHeight="1" thickTop="1" thickBot="1" x14ac:dyDescent="0.25">
      <c r="C505" s="130"/>
      <c r="D505" s="130"/>
      <c r="E505" s="130"/>
      <c r="F505" s="130"/>
      <c r="G505" s="294"/>
      <c r="H505" s="294"/>
      <c r="I505" s="294"/>
      <c r="J505" s="296"/>
      <c r="K505" s="297"/>
      <c r="L505" s="130"/>
      <c r="M505" s="130"/>
      <c r="N505" s="130"/>
      <c r="O505" s="155"/>
      <c r="P505" s="467"/>
    </row>
    <row r="506" spans="1:16" ht="12.95" customHeight="1" thickTop="1" x14ac:dyDescent="0.2">
      <c r="A506" s="553"/>
      <c r="B506" s="554" t="s">
        <v>752</v>
      </c>
      <c r="C506" s="555"/>
      <c r="D506" s="555"/>
      <c r="E506" s="556"/>
      <c r="F506" s="557"/>
      <c r="G506" s="294"/>
      <c r="H506" s="294"/>
      <c r="I506" s="294"/>
      <c r="J506" s="296"/>
      <c r="K506" s="297"/>
      <c r="L506" s="130"/>
      <c r="M506" s="130"/>
      <c r="N506" s="130"/>
      <c r="O506" s="155"/>
      <c r="P506" s="467"/>
    </row>
    <row r="507" spans="1:16" ht="12.95" customHeight="1" x14ac:dyDescent="0.2">
      <c r="A507" s="558"/>
      <c r="B507" s="559" t="s">
        <v>753</v>
      </c>
      <c r="C507" s="560">
        <v>1.1000000000000001</v>
      </c>
      <c r="D507" s="561" t="s">
        <v>88</v>
      </c>
      <c r="E507" s="560">
        <f>F184</f>
        <v>6621.6739999999991</v>
      </c>
      <c r="F507" s="562">
        <f t="shared" ref="F507:F513" si="10">C507*E507</f>
        <v>7283.8413999999993</v>
      </c>
      <c r="G507" s="294"/>
      <c r="H507" s="294"/>
      <c r="I507" s="294"/>
      <c r="J507" s="296"/>
      <c r="K507" s="297"/>
      <c r="L507" s="130"/>
      <c r="M507" s="130"/>
      <c r="N507" s="130"/>
      <c r="O507" s="155"/>
      <c r="P507" s="467"/>
    </row>
    <row r="508" spans="1:16" ht="12.95" customHeight="1" x14ac:dyDescent="0.2">
      <c r="A508" s="558"/>
      <c r="B508" s="559" t="s">
        <v>754</v>
      </c>
      <c r="C508" s="560">
        <v>1</v>
      </c>
      <c r="D508" s="561" t="s">
        <v>88</v>
      </c>
      <c r="E508" s="560"/>
      <c r="F508" s="562">
        <f t="shared" si="10"/>
        <v>0</v>
      </c>
      <c r="G508" s="294"/>
      <c r="H508" s="294"/>
      <c r="I508" s="294"/>
      <c r="J508" s="296"/>
      <c r="K508" s="297"/>
      <c r="L508" s="130"/>
      <c r="M508" s="130"/>
      <c r="N508" s="130"/>
      <c r="O508" s="155"/>
      <c r="P508" s="467"/>
    </row>
    <row r="509" spans="1:16" ht="12.95" customHeight="1" x14ac:dyDescent="0.2">
      <c r="A509" s="558"/>
      <c r="B509" s="559" t="s">
        <v>755</v>
      </c>
      <c r="C509" s="560">
        <v>8.8999999999999996E-2</v>
      </c>
      <c r="D509" s="563" t="s">
        <v>297</v>
      </c>
      <c r="E509" s="560">
        <v>2500</v>
      </c>
      <c r="F509" s="562">
        <f t="shared" si="10"/>
        <v>222.5</v>
      </c>
      <c r="G509" s="294"/>
      <c r="H509" s="294"/>
      <c r="I509" s="294"/>
      <c r="J509" s="296"/>
      <c r="K509" s="297"/>
      <c r="L509" s="130"/>
      <c r="M509" s="130"/>
      <c r="N509" s="130"/>
      <c r="O509" s="155"/>
      <c r="P509" s="467"/>
    </row>
    <row r="510" spans="1:16" ht="12.95" customHeight="1" x14ac:dyDescent="0.2">
      <c r="A510" s="558"/>
      <c r="B510" s="559" t="s">
        <v>756</v>
      </c>
      <c r="C510" s="560">
        <v>0.88</v>
      </c>
      <c r="D510" s="561" t="s">
        <v>297</v>
      </c>
      <c r="E510" s="560">
        <f>F23</f>
        <v>486.5</v>
      </c>
      <c r="F510" s="562">
        <f t="shared" si="10"/>
        <v>428.12</v>
      </c>
      <c r="G510" s="294"/>
      <c r="H510" s="294"/>
      <c r="I510" s="294"/>
      <c r="J510" s="296"/>
      <c r="K510" s="297"/>
      <c r="L510" s="130"/>
      <c r="M510" s="130"/>
      <c r="N510" s="130"/>
      <c r="O510" s="155"/>
      <c r="P510" s="467"/>
    </row>
    <row r="511" spans="1:16" ht="12.95" customHeight="1" x14ac:dyDescent="0.2">
      <c r="A511" s="558"/>
      <c r="B511" s="559" t="s">
        <v>757</v>
      </c>
      <c r="C511" s="564">
        <v>0.18</v>
      </c>
      <c r="D511" s="561" t="s">
        <v>172</v>
      </c>
      <c r="E511" s="560">
        <v>45</v>
      </c>
      <c r="F511" s="562">
        <f t="shared" si="10"/>
        <v>8.1</v>
      </c>
      <c r="G511" s="294"/>
      <c r="H511" s="294"/>
      <c r="I511" s="294"/>
      <c r="J511" s="296"/>
      <c r="K511" s="297"/>
      <c r="L511" s="130"/>
      <c r="M511" s="130"/>
      <c r="N511" s="130"/>
      <c r="O511" s="155"/>
      <c r="P511" s="467"/>
    </row>
    <row r="512" spans="1:16" ht="12.95" customHeight="1" x14ac:dyDescent="0.2">
      <c r="A512" s="558"/>
      <c r="B512" s="559" t="s">
        <v>758</v>
      </c>
      <c r="C512" s="560">
        <v>1.76</v>
      </c>
      <c r="D512" s="561" t="s">
        <v>325</v>
      </c>
      <c r="E512" s="560">
        <v>36</v>
      </c>
      <c r="F512" s="562">
        <f t="shared" si="10"/>
        <v>63.36</v>
      </c>
      <c r="G512" s="294"/>
      <c r="H512" s="294"/>
      <c r="I512" s="294"/>
      <c r="J512" s="296"/>
      <c r="K512" s="297"/>
      <c r="L512" s="130"/>
      <c r="M512" s="130"/>
      <c r="N512" s="130"/>
      <c r="O512" s="155"/>
      <c r="P512" s="467"/>
    </row>
    <row r="513" spans="1:16" ht="12.95" customHeight="1" x14ac:dyDescent="0.2">
      <c r="A513" s="558"/>
      <c r="B513" s="559" t="s">
        <v>759</v>
      </c>
      <c r="C513" s="560">
        <v>8.33</v>
      </c>
      <c r="D513" s="561" t="s">
        <v>124</v>
      </c>
      <c r="E513" s="560">
        <v>90</v>
      </c>
      <c r="F513" s="562">
        <f t="shared" si="10"/>
        <v>749.7</v>
      </c>
      <c r="G513" s="294"/>
      <c r="H513" s="294"/>
      <c r="I513" s="294"/>
      <c r="J513" s="296"/>
      <c r="K513" s="297"/>
      <c r="L513" s="130"/>
      <c r="M513" s="130"/>
      <c r="N513" s="130"/>
      <c r="O513" s="155"/>
      <c r="P513" s="467"/>
    </row>
    <row r="514" spans="1:16" ht="12.95" customHeight="1" thickBot="1" x14ac:dyDescent="0.25">
      <c r="A514" s="565"/>
      <c r="B514" s="1732" t="s">
        <v>760</v>
      </c>
      <c r="C514" s="1732"/>
      <c r="D514" s="1732"/>
      <c r="E514" s="1732"/>
      <c r="F514" s="566">
        <f>SUM(F507:F513)</f>
        <v>8755.6214</v>
      </c>
      <c r="G514" s="294"/>
      <c r="H514" s="294"/>
      <c r="I514" s="294"/>
      <c r="J514" s="296"/>
      <c r="K514" s="297"/>
      <c r="L514" s="130"/>
      <c r="M514" s="130"/>
      <c r="N514" s="130"/>
      <c r="O514" s="155"/>
      <c r="P514" s="467"/>
    </row>
    <row r="515" spans="1:16" ht="12.95" customHeight="1" thickTop="1" thickBot="1" x14ac:dyDescent="0.25">
      <c r="A515" s="565"/>
      <c r="B515" s="1732" t="s">
        <v>760</v>
      </c>
      <c r="C515" s="1732"/>
      <c r="D515" s="1732"/>
      <c r="E515" s="1732"/>
      <c r="F515" s="566">
        <f>SUM(F508:F514)*0.1</f>
        <v>1022.7401400000001</v>
      </c>
      <c r="G515" s="294"/>
      <c r="H515" s="294"/>
      <c r="I515" s="294"/>
      <c r="J515" s="296"/>
      <c r="K515" s="297"/>
      <c r="L515" s="130"/>
      <c r="M515" s="130"/>
      <c r="N515" s="130"/>
      <c r="O515" s="155"/>
      <c r="P515" s="467"/>
    </row>
    <row r="516" spans="1:16" ht="12.95" customHeight="1" thickTop="1" x14ac:dyDescent="0.2">
      <c r="C516" s="130"/>
      <c r="D516" s="130"/>
      <c r="E516" s="130"/>
      <c r="F516" s="130"/>
      <c r="G516" s="294"/>
      <c r="H516" s="294"/>
      <c r="I516" s="294"/>
      <c r="J516" s="296"/>
      <c r="K516" s="297"/>
      <c r="L516" s="130"/>
      <c r="M516" s="130"/>
      <c r="N516" s="130"/>
      <c r="O516" s="155"/>
      <c r="P516" s="467"/>
    </row>
    <row r="517" spans="1:16" ht="12.95" customHeight="1" thickBot="1" x14ac:dyDescent="0.25">
      <c r="B517" s="567" t="s">
        <v>761</v>
      </c>
      <c r="C517" s="568"/>
      <c r="D517" s="568"/>
      <c r="E517" s="569"/>
      <c r="F517" s="570"/>
      <c r="G517" s="294"/>
      <c r="H517" s="294"/>
      <c r="I517" s="294"/>
      <c r="J517" s="296"/>
      <c r="K517" s="297"/>
      <c r="L517" s="130"/>
      <c r="M517" s="130"/>
      <c r="N517" s="130"/>
      <c r="O517" s="155"/>
      <c r="P517" s="467"/>
    </row>
    <row r="518" spans="1:16" ht="12.95" customHeight="1" thickTop="1" x14ac:dyDescent="0.2">
      <c r="A518" s="571"/>
      <c r="B518" s="572" t="s">
        <v>762</v>
      </c>
      <c r="C518" s="573">
        <v>3.28</v>
      </c>
      <c r="D518" s="574" t="s">
        <v>31</v>
      </c>
      <c r="E518" s="575">
        <v>177.05</v>
      </c>
      <c r="F518" s="576">
        <f>C518*E518</f>
        <v>580.72400000000005</v>
      </c>
      <c r="G518" s="294"/>
      <c r="H518" s="294"/>
      <c r="I518" s="294">
        <f>580.71</f>
        <v>580.71</v>
      </c>
      <c r="J518" s="296"/>
      <c r="K518" s="297"/>
      <c r="L518" s="130"/>
      <c r="M518" s="130"/>
      <c r="N518" s="130"/>
      <c r="O518" s="155"/>
      <c r="P518" s="467"/>
    </row>
    <row r="519" spans="1:16" ht="12.75" customHeight="1" x14ac:dyDescent="0.2">
      <c r="A519" s="577"/>
      <c r="B519" s="578" t="s">
        <v>763</v>
      </c>
      <c r="C519" s="579">
        <v>15</v>
      </c>
      <c r="D519" s="580" t="s">
        <v>234</v>
      </c>
      <c r="E519" s="581">
        <f>+F518</f>
        <v>580.72400000000005</v>
      </c>
      <c r="F519" s="582">
        <f>C519*E519/100</f>
        <v>87.10860000000001</v>
      </c>
      <c r="G519" s="294"/>
      <c r="H519" s="294"/>
      <c r="I519" s="294">
        <f>I518/3.28</f>
        <v>177.04573170731709</v>
      </c>
      <c r="J519" s="296"/>
      <c r="K519" s="297"/>
      <c r="L519" s="130"/>
      <c r="M519" s="130"/>
      <c r="N519" s="130"/>
      <c r="O519" s="155"/>
      <c r="P519" s="467"/>
    </row>
    <row r="520" spans="1:16" ht="12.95" customHeight="1" x14ac:dyDescent="0.2">
      <c r="A520" s="577"/>
      <c r="B520" s="583" t="s">
        <v>764</v>
      </c>
      <c r="C520" s="579">
        <v>1</v>
      </c>
      <c r="D520" s="584" t="s">
        <v>41</v>
      </c>
      <c r="E520" s="581">
        <v>20</v>
      </c>
      <c r="F520" s="582">
        <f>C520*E520</f>
        <v>20</v>
      </c>
      <c r="G520" s="294"/>
      <c r="H520" s="294"/>
      <c r="I520" s="294"/>
      <c r="J520" s="296"/>
      <c r="K520" s="297"/>
      <c r="L520" s="130"/>
      <c r="M520" s="130"/>
      <c r="N520" s="130"/>
      <c r="O520" s="155"/>
      <c r="P520" s="467"/>
    </row>
    <row r="521" spans="1:16" ht="12.95" customHeight="1" thickBot="1" x14ac:dyDescent="0.25">
      <c r="A521" s="585"/>
      <c r="B521" s="586"/>
      <c r="C521" s="586"/>
      <c r="D521" s="586"/>
      <c r="E521" s="551" t="s">
        <v>765</v>
      </c>
      <c r="F521" s="587">
        <f>ROUND(SUM(F518:F520),2)</f>
        <v>687.83</v>
      </c>
      <c r="G521" s="294"/>
      <c r="H521" s="294"/>
      <c r="I521" s="294"/>
      <c r="J521" s="296"/>
      <c r="K521" s="297"/>
      <c r="L521" s="130"/>
      <c r="M521" s="130"/>
      <c r="N521" s="130"/>
      <c r="O521" s="155"/>
      <c r="P521" s="467"/>
    </row>
    <row r="522" spans="1:16" ht="12.95" customHeight="1" thickTop="1" x14ac:dyDescent="0.2">
      <c r="C522" s="130"/>
      <c r="D522" s="130"/>
      <c r="E522" s="130"/>
      <c r="F522" s="130"/>
      <c r="G522" s="303"/>
      <c r="H522" s="303"/>
      <c r="I522" s="295"/>
      <c r="J522" s="296"/>
      <c r="K522" s="297"/>
      <c r="L522" s="130"/>
      <c r="M522" s="130"/>
      <c r="N522" s="130"/>
      <c r="O522" s="155"/>
      <c r="P522" s="467"/>
    </row>
    <row r="523" spans="1:16" ht="12.95" customHeight="1" thickBot="1" x14ac:dyDescent="0.25">
      <c r="B523" s="588" t="s">
        <v>766</v>
      </c>
      <c r="C523" s="132"/>
      <c r="D523" s="261"/>
      <c r="E523" s="185"/>
      <c r="F523" s="185"/>
      <c r="G523" s="260"/>
      <c r="L523" s="589"/>
    </row>
    <row r="524" spans="1:16" ht="12.95" customHeight="1" thickTop="1" x14ac:dyDescent="0.2">
      <c r="A524" s="134"/>
      <c r="B524" s="590" t="s">
        <v>767</v>
      </c>
      <c r="C524" s="137">
        <v>0.125</v>
      </c>
      <c r="D524" s="249" t="s">
        <v>343</v>
      </c>
      <c r="E524" s="438">
        <v>900</v>
      </c>
      <c r="F524" s="576">
        <f>C524*E524</f>
        <v>112.5</v>
      </c>
      <c r="G524" s="260"/>
      <c r="L524" s="589"/>
    </row>
    <row r="525" spans="1:16" ht="12.95" customHeight="1" x14ac:dyDescent="0.2">
      <c r="A525" s="126"/>
      <c r="B525" s="591" t="s">
        <v>768</v>
      </c>
      <c r="C525" s="140">
        <f>1/8</f>
        <v>0.125</v>
      </c>
      <c r="D525" s="250" t="s">
        <v>769</v>
      </c>
      <c r="E525" s="440">
        <f>F41</f>
        <v>721</v>
      </c>
      <c r="F525" s="582">
        <f>C525*E525</f>
        <v>90.125</v>
      </c>
      <c r="G525" s="260"/>
      <c r="L525" s="589"/>
    </row>
    <row r="526" spans="1:16" ht="12.95" customHeight="1" thickBot="1" x14ac:dyDescent="0.25">
      <c r="A526" s="414"/>
      <c r="B526" s="592"/>
      <c r="C526" s="458"/>
      <c r="D526" s="455"/>
      <c r="E526" s="593" t="s">
        <v>770</v>
      </c>
      <c r="F526" s="594">
        <f>ROUND(SUM(F524:F525),2)</f>
        <v>202.63</v>
      </c>
      <c r="G526" s="260"/>
      <c r="L526" s="589"/>
    </row>
    <row r="527" spans="1:16" ht="12.95" customHeight="1" thickTop="1" x14ac:dyDescent="0.2">
      <c r="A527" s="134"/>
      <c r="B527" s="595" t="s">
        <v>771</v>
      </c>
      <c r="C527" s="137">
        <v>3.75</v>
      </c>
      <c r="D527" s="249" t="s">
        <v>435</v>
      </c>
      <c r="E527" s="596" t="s">
        <v>772</v>
      </c>
      <c r="F527" s="597">
        <f>ROUND(F526/C527,2)</f>
        <v>54.03</v>
      </c>
      <c r="G527" s="260"/>
      <c r="L527" s="589"/>
    </row>
    <row r="528" spans="1:16" ht="12.95" customHeight="1" x14ac:dyDescent="0.2">
      <c r="A528" s="598"/>
      <c r="B528" s="599" t="s">
        <v>773</v>
      </c>
      <c r="C528" s="600">
        <v>8</v>
      </c>
      <c r="D528" s="498" t="s">
        <v>435</v>
      </c>
      <c r="E528" s="601" t="s">
        <v>772</v>
      </c>
      <c r="F528" s="602">
        <f>ROUND(F526/C528,2)</f>
        <v>25.33</v>
      </c>
      <c r="G528" s="260"/>
      <c r="L528" s="589"/>
    </row>
    <row r="529" spans="1:12" ht="12.95" customHeight="1" thickBot="1" x14ac:dyDescent="0.25">
      <c r="A529" s="142"/>
      <c r="B529" s="603" t="s">
        <v>774</v>
      </c>
      <c r="C529" s="146">
        <v>22.5</v>
      </c>
      <c r="D529" s="188" t="s">
        <v>435</v>
      </c>
      <c r="E529" s="236" t="s">
        <v>772</v>
      </c>
      <c r="F529" s="604">
        <f>ROUND(F526/C529,2)</f>
        <v>9.01</v>
      </c>
      <c r="G529" s="260"/>
      <c r="L529" s="589"/>
    </row>
    <row r="530" spans="1:12" ht="12.95" customHeight="1" thickTop="1" x14ac:dyDescent="0.2">
      <c r="C530" s="132"/>
      <c r="D530" s="261"/>
      <c r="E530" s="185"/>
      <c r="F530" s="185"/>
      <c r="G530" s="260"/>
      <c r="L530" s="589"/>
    </row>
    <row r="531" spans="1:12" ht="12.95" customHeight="1" thickBot="1" x14ac:dyDescent="0.25">
      <c r="A531" s="205"/>
      <c r="B531" s="588" t="s">
        <v>775</v>
      </c>
      <c r="C531" s="208"/>
      <c r="D531" s="274"/>
      <c r="E531" s="209"/>
      <c r="F531" s="209"/>
      <c r="G531" s="260"/>
      <c r="L531" s="589"/>
    </row>
    <row r="532" spans="1:12" ht="12.95" customHeight="1" thickTop="1" x14ac:dyDescent="0.2">
      <c r="A532" s="276"/>
      <c r="B532" s="590" t="s">
        <v>776</v>
      </c>
      <c r="C532" s="216">
        <v>1.1000000000000001</v>
      </c>
      <c r="D532" s="277" t="s">
        <v>274</v>
      </c>
      <c r="E532" s="278">
        <v>436.96</v>
      </c>
      <c r="F532" s="605">
        <f>C532*E532</f>
        <v>480.65600000000001</v>
      </c>
      <c r="G532" s="260"/>
      <c r="L532" s="589"/>
    </row>
    <row r="533" spans="1:12" ht="12.95" customHeight="1" thickBot="1" x14ac:dyDescent="0.25">
      <c r="A533" s="232"/>
      <c r="B533" s="233"/>
      <c r="C533" s="284"/>
      <c r="D533" s="285"/>
      <c r="E533" s="606" t="s">
        <v>777</v>
      </c>
      <c r="F533" s="246">
        <f>F532</f>
        <v>480.65600000000001</v>
      </c>
      <c r="G533" s="260"/>
      <c r="L533" s="589"/>
    </row>
    <row r="534" spans="1:12" ht="12.95" customHeight="1" thickTop="1" x14ac:dyDescent="0.2">
      <c r="A534" s="276"/>
      <c r="B534" s="607" t="s">
        <v>778</v>
      </c>
      <c r="C534" s="216">
        <v>0.72</v>
      </c>
      <c r="D534" s="277" t="s">
        <v>274</v>
      </c>
      <c r="E534" s="608" t="s">
        <v>772</v>
      </c>
      <c r="F534" s="609">
        <f>ROUND(F$533*C534,2)</f>
        <v>346.07</v>
      </c>
      <c r="G534" s="260"/>
      <c r="L534" s="589"/>
    </row>
    <row r="535" spans="1:12" ht="12.95" customHeight="1" x14ac:dyDescent="0.2">
      <c r="A535" s="228"/>
      <c r="B535" s="610" t="s">
        <v>779</v>
      </c>
      <c r="C535" s="221">
        <v>0.59</v>
      </c>
      <c r="D535" s="280" t="s">
        <v>274</v>
      </c>
      <c r="E535" s="611" t="s">
        <v>772</v>
      </c>
      <c r="F535" s="231">
        <f>ROUND(F$533*C535,2)</f>
        <v>283.58999999999997</v>
      </c>
      <c r="G535" s="260"/>
      <c r="L535" s="589"/>
    </row>
    <row r="536" spans="1:12" ht="12.95" customHeight="1" x14ac:dyDescent="0.2">
      <c r="A536" s="228"/>
      <c r="B536" s="610" t="s">
        <v>780</v>
      </c>
      <c r="C536" s="221">
        <v>0.4</v>
      </c>
      <c r="D536" s="280" t="s">
        <v>274</v>
      </c>
      <c r="E536" s="611" t="s">
        <v>772</v>
      </c>
      <c r="F536" s="231">
        <f t="shared" ref="F536:F541" si="11">ROUND(F$533*C536,2)</f>
        <v>192.26</v>
      </c>
      <c r="G536" s="260"/>
      <c r="L536" s="589"/>
    </row>
    <row r="537" spans="1:12" ht="12.95" customHeight="1" x14ac:dyDescent="0.2">
      <c r="A537" s="217"/>
      <c r="B537" s="610" t="s">
        <v>781</v>
      </c>
      <c r="C537" s="221">
        <v>1.1299999999999999</v>
      </c>
      <c r="D537" s="280" t="s">
        <v>274</v>
      </c>
      <c r="E537" s="611" t="s">
        <v>772</v>
      </c>
      <c r="F537" s="231">
        <f t="shared" si="11"/>
        <v>543.14</v>
      </c>
      <c r="G537" s="260"/>
      <c r="L537" s="589"/>
    </row>
    <row r="538" spans="1:12" ht="12.95" customHeight="1" x14ac:dyDescent="0.2">
      <c r="A538" s="217"/>
      <c r="B538" s="610" t="s">
        <v>782</v>
      </c>
      <c r="C538" s="221">
        <v>1.31</v>
      </c>
      <c r="D538" s="280" t="s">
        <v>274</v>
      </c>
      <c r="E538" s="611" t="s">
        <v>772</v>
      </c>
      <c r="F538" s="231">
        <f t="shared" si="11"/>
        <v>629.66</v>
      </c>
      <c r="G538" s="260"/>
      <c r="L538" s="589"/>
    </row>
    <row r="539" spans="1:12" ht="12.95" customHeight="1" x14ac:dyDescent="0.2">
      <c r="A539" s="217"/>
      <c r="B539" s="610" t="s">
        <v>783</v>
      </c>
      <c r="C539" s="221">
        <v>1.6</v>
      </c>
      <c r="D539" s="280" t="s">
        <v>274</v>
      </c>
      <c r="E539" s="611" t="s">
        <v>772</v>
      </c>
      <c r="F539" s="231">
        <f t="shared" si="11"/>
        <v>769.05</v>
      </c>
      <c r="G539" s="260"/>
      <c r="L539" s="589"/>
    </row>
    <row r="540" spans="1:12" ht="12.95" customHeight="1" x14ac:dyDescent="0.2">
      <c r="A540" s="217"/>
      <c r="B540" s="610" t="s">
        <v>784</v>
      </c>
      <c r="C540" s="221">
        <v>1.69</v>
      </c>
      <c r="D540" s="280" t="s">
        <v>274</v>
      </c>
      <c r="E540" s="611" t="s">
        <v>772</v>
      </c>
      <c r="F540" s="231">
        <f t="shared" si="11"/>
        <v>812.31</v>
      </c>
      <c r="G540" s="260"/>
      <c r="L540" s="589"/>
    </row>
    <row r="541" spans="1:12" ht="12.95" customHeight="1" thickBot="1" x14ac:dyDescent="0.25">
      <c r="A541" s="283"/>
      <c r="B541" s="612" t="s">
        <v>785</v>
      </c>
      <c r="C541" s="284">
        <v>1.88</v>
      </c>
      <c r="D541" s="285" t="s">
        <v>274</v>
      </c>
      <c r="E541" s="606" t="s">
        <v>772</v>
      </c>
      <c r="F541" s="237">
        <f t="shared" si="11"/>
        <v>903.63</v>
      </c>
      <c r="G541" s="260"/>
      <c r="L541" s="589"/>
    </row>
    <row r="542" spans="1:12" ht="12.95" customHeight="1" thickTop="1" x14ac:dyDescent="0.2">
      <c r="A542" s="205"/>
      <c r="B542" s="205"/>
      <c r="C542" s="208"/>
      <c r="D542" s="274"/>
      <c r="E542" s="209"/>
      <c r="F542" s="209"/>
      <c r="G542" s="260"/>
      <c r="L542" s="589"/>
    </row>
    <row r="543" spans="1:12" ht="12.95" customHeight="1" thickBot="1" x14ac:dyDescent="0.25">
      <c r="A543" s="205"/>
      <c r="B543" s="211" t="s">
        <v>786</v>
      </c>
      <c r="C543" s="208"/>
      <c r="D543" s="274"/>
      <c r="E543" s="209"/>
      <c r="F543" s="209"/>
      <c r="G543" s="260"/>
      <c r="L543" s="589"/>
    </row>
    <row r="544" spans="1:12" ht="12.95" customHeight="1" thickTop="1" x14ac:dyDescent="0.2">
      <c r="A544" s="613" t="s">
        <v>787</v>
      </c>
      <c r="B544" s="213" t="s">
        <v>788</v>
      </c>
      <c r="C544" s="216">
        <v>1</v>
      </c>
      <c r="D544" s="277" t="s">
        <v>88</v>
      </c>
      <c r="E544" s="278">
        <f>F534</f>
        <v>346.07</v>
      </c>
      <c r="F544" s="614">
        <f>ROUND(C544*E544,2)</f>
        <v>346.07</v>
      </c>
      <c r="G544" s="260"/>
      <c r="L544" s="589"/>
    </row>
    <row r="545" spans="1:12" ht="12.95" customHeight="1" x14ac:dyDescent="0.2">
      <c r="A545" s="615" t="s">
        <v>789</v>
      </c>
      <c r="B545" s="218" t="s">
        <v>790</v>
      </c>
      <c r="C545" s="221">
        <v>1</v>
      </c>
      <c r="D545" s="280" t="s">
        <v>88</v>
      </c>
      <c r="E545" s="281">
        <f>F535</f>
        <v>283.58999999999997</v>
      </c>
      <c r="F545" s="616">
        <f t="shared" ref="F545:F551" si="12">ROUND(C545*E545,2)</f>
        <v>283.58999999999997</v>
      </c>
      <c r="G545" s="260"/>
      <c r="L545" s="589"/>
    </row>
    <row r="546" spans="1:12" ht="12.95" customHeight="1" x14ac:dyDescent="0.2">
      <c r="A546" s="615" t="s">
        <v>791</v>
      </c>
      <c r="B546" s="218" t="s">
        <v>792</v>
      </c>
      <c r="C546" s="221">
        <v>1</v>
      </c>
      <c r="D546" s="280" t="s">
        <v>88</v>
      </c>
      <c r="E546" s="281">
        <f t="shared" ref="E546:E551" si="13">F536</f>
        <v>192.26</v>
      </c>
      <c r="F546" s="616">
        <f t="shared" si="12"/>
        <v>192.26</v>
      </c>
      <c r="G546" s="260"/>
      <c r="L546" s="589"/>
    </row>
    <row r="547" spans="1:12" ht="12.95" customHeight="1" x14ac:dyDescent="0.2">
      <c r="A547" s="228">
        <v>140</v>
      </c>
      <c r="B547" s="218" t="s">
        <v>793</v>
      </c>
      <c r="C547" s="221">
        <v>1</v>
      </c>
      <c r="D547" s="280" t="s">
        <v>88</v>
      </c>
      <c r="E547" s="281">
        <f t="shared" si="13"/>
        <v>543.14</v>
      </c>
      <c r="F547" s="616">
        <f t="shared" si="12"/>
        <v>543.14</v>
      </c>
      <c r="G547" s="260"/>
      <c r="L547" s="589"/>
    </row>
    <row r="548" spans="1:12" ht="12.95" customHeight="1" x14ac:dyDescent="0.2">
      <c r="A548" s="228">
        <v>180</v>
      </c>
      <c r="B548" s="218" t="s">
        <v>794</v>
      </c>
      <c r="C548" s="221">
        <v>1</v>
      </c>
      <c r="D548" s="280" t="s">
        <v>88</v>
      </c>
      <c r="E548" s="281">
        <f t="shared" si="13"/>
        <v>629.66</v>
      </c>
      <c r="F548" s="616">
        <f t="shared" si="12"/>
        <v>629.66</v>
      </c>
      <c r="G548" s="260"/>
      <c r="L548" s="589"/>
    </row>
    <row r="549" spans="1:12" ht="12.95" customHeight="1" x14ac:dyDescent="0.2">
      <c r="A549" s="228">
        <v>210</v>
      </c>
      <c r="B549" s="218" t="s">
        <v>795</v>
      </c>
      <c r="C549" s="221">
        <v>1</v>
      </c>
      <c r="D549" s="280" t="s">
        <v>88</v>
      </c>
      <c r="E549" s="281">
        <f t="shared" si="13"/>
        <v>769.05</v>
      </c>
      <c r="F549" s="616">
        <f t="shared" si="12"/>
        <v>769.05</v>
      </c>
      <c r="G549" s="260"/>
      <c r="L549" s="589"/>
    </row>
    <row r="550" spans="1:12" ht="12.95" customHeight="1" x14ac:dyDescent="0.2">
      <c r="A550" s="228">
        <v>240</v>
      </c>
      <c r="B550" s="218" t="s">
        <v>796</v>
      </c>
      <c r="C550" s="221">
        <v>1</v>
      </c>
      <c r="D550" s="280" t="s">
        <v>88</v>
      </c>
      <c r="E550" s="281">
        <f t="shared" si="13"/>
        <v>812.31</v>
      </c>
      <c r="F550" s="616">
        <f t="shared" si="12"/>
        <v>812.31</v>
      </c>
      <c r="G550" s="260"/>
      <c r="L550" s="589"/>
    </row>
    <row r="551" spans="1:12" ht="12.95" customHeight="1" thickBot="1" x14ac:dyDescent="0.25">
      <c r="A551" s="232">
        <v>280</v>
      </c>
      <c r="B551" s="233" t="s">
        <v>797</v>
      </c>
      <c r="C551" s="284">
        <v>1</v>
      </c>
      <c r="D551" s="285" t="s">
        <v>88</v>
      </c>
      <c r="E551" s="286">
        <f t="shared" si="13"/>
        <v>903.63</v>
      </c>
      <c r="F551" s="617">
        <f t="shared" si="12"/>
        <v>903.63</v>
      </c>
      <c r="G551" s="260"/>
      <c r="L551" s="589"/>
    </row>
    <row r="552" spans="1:12" ht="12.95" customHeight="1" thickTop="1" x14ac:dyDescent="0.2">
      <c r="A552" s="205"/>
      <c r="B552" s="205"/>
      <c r="C552" s="208"/>
      <c r="D552" s="274"/>
      <c r="E552" s="209"/>
      <c r="F552" s="209"/>
      <c r="G552" s="260"/>
      <c r="L552" s="589"/>
    </row>
    <row r="553" spans="1:12" ht="12.95" customHeight="1" x14ac:dyDescent="0.2">
      <c r="B553" s="618" t="s">
        <v>798</v>
      </c>
      <c r="C553" s="292"/>
      <c r="D553" s="293"/>
      <c r="E553" s="619"/>
      <c r="F553" s="292"/>
      <c r="G553" s="260"/>
      <c r="L553" s="589"/>
    </row>
    <row r="554" spans="1:12" ht="12.95" customHeight="1" x14ac:dyDescent="0.2">
      <c r="B554" s="620" t="s">
        <v>799</v>
      </c>
      <c r="C554" s="621" t="s">
        <v>800</v>
      </c>
      <c r="D554" s="293"/>
      <c r="E554" s="619"/>
      <c r="F554" s="292"/>
      <c r="G554" s="260"/>
      <c r="L554" s="589"/>
    </row>
    <row r="555" spans="1:12" ht="12.95" customHeight="1" thickBot="1" x14ac:dyDescent="0.25">
      <c r="B555" s="620" t="s">
        <v>801</v>
      </c>
      <c r="C555" s="621" t="s">
        <v>802</v>
      </c>
      <c r="D555" s="293"/>
      <c r="E555" s="292"/>
      <c r="F555" s="292"/>
      <c r="G555" s="260"/>
      <c r="L555" s="589"/>
    </row>
    <row r="556" spans="1:12" ht="12.95" customHeight="1" thickTop="1" x14ac:dyDescent="0.2">
      <c r="A556" s="134"/>
      <c r="B556" s="299" t="s">
        <v>803</v>
      </c>
      <c r="C556" s="300">
        <v>12.1</v>
      </c>
      <c r="D556" s="301" t="s">
        <v>172</v>
      </c>
      <c r="E556" s="300">
        <f>F28</f>
        <v>45</v>
      </c>
      <c r="F556" s="268">
        <f t="shared" ref="F556:F561" si="14">ROUND(C556*E556,2)</f>
        <v>544.5</v>
      </c>
      <c r="G556" s="176"/>
      <c r="L556" s="589"/>
    </row>
    <row r="557" spans="1:12" ht="12.95" customHeight="1" x14ac:dyDescent="0.2">
      <c r="A557" s="126"/>
      <c r="B557" s="305" t="s">
        <v>804</v>
      </c>
      <c r="C557" s="306">
        <v>5.5</v>
      </c>
      <c r="D557" s="307" t="s">
        <v>325</v>
      </c>
      <c r="E557" s="306">
        <f>F31</f>
        <v>40</v>
      </c>
      <c r="F557" s="270">
        <f t="shared" si="14"/>
        <v>220</v>
      </c>
      <c r="G557" s="176"/>
      <c r="L557" s="589"/>
    </row>
    <row r="558" spans="1:12" ht="12.95" customHeight="1" x14ac:dyDescent="0.2">
      <c r="A558" s="126"/>
      <c r="B558" s="305" t="s">
        <v>805</v>
      </c>
      <c r="C558" s="306">
        <v>1.02</v>
      </c>
      <c r="D558" s="307" t="s">
        <v>88</v>
      </c>
      <c r="E558" s="306">
        <f>F224</f>
        <v>4954.1690999999992</v>
      </c>
      <c r="F558" s="270">
        <f t="shared" si="14"/>
        <v>5053.25</v>
      </c>
      <c r="G558" s="260"/>
      <c r="L558" s="589"/>
    </row>
    <row r="559" spans="1:12" ht="12.95" customHeight="1" x14ac:dyDescent="0.2">
      <c r="A559" s="126"/>
      <c r="B559" s="305" t="s">
        <v>806</v>
      </c>
      <c r="C559" s="306">
        <v>0.1</v>
      </c>
      <c r="D559" s="307" t="s">
        <v>88</v>
      </c>
      <c r="E559" s="306">
        <f>+F250</f>
        <v>6665.7406999999994</v>
      </c>
      <c r="F559" s="270">
        <f t="shared" si="14"/>
        <v>666.57</v>
      </c>
      <c r="G559" s="622"/>
      <c r="L559" s="589"/>
    </row>
    <row r="560" spans="1:12" ht="12.95" customHeight="1" x14ac:dyDescent="0.2">
      <c r="A560" s="126"/>
      <c r="B560" s="305" t="s">
        <v>807</v>
      </c>
      <c r="C560" s="306">
        <v>0.08</v>
      </c>
      <c r="D560" s="307" t="s">
        <v>88</v>
      </c>
      <c r="E560" s="306">
        <f>'[29]LIST.  M.O.'!F157</f>
        <v>546.85714285714289</v>
      </c>
      <c r="F560" s="270">
        <f t="shared" si="14"/>
        <v>43.75</v>
      </c>
      <c r="G560" s="260"/>
      <c r="L560" s="589"/>
    </row>
    <row r="561" spans="1:12" ht="12.95" customHeight="1" x14ac:dyDescent="0.2">
      <c r="A561" s="126"/>
      <c r="B561" s="305" t="s">
        <v>808</v>
      </c>
      <c r="C561" s="306">
        <v>10</v>
      </c>
      <c r="D561" s="307" t="s">
        <v>41</v>
      </c>
      <c r="E561" s="306">
        <f>'[29]LIST.  M.O.'!F165</f>
        <v>176.751269035533</v>
      </c>
      <c r="F561" s="270">
        <f t="shared" si="14"/>
        <v>1767.51</v>
      </c>
      <c r="G561" s="260"/>
      <c r="L561" s="589"/>
    </row>
    <row r="562" spans="1:12" ht="12.95" customHeight="1" thickBot="1" x14ac:dyDescent="0.25">
      <c r="A562" s="142"/>
      <c r="B562" s="623"/>
      <c r="C562" s="312"/>
      <c r="D562" s="331"/>
      <c r="E562" s="624" t="s">
        <v>530</v>
      </c>
      <c r="F562" s="625">
        <f>SUM(F556:F561)</f>
        <v>8295.58</v>
      </c>
      <c r="G562" s="260"/>
      <c r="L562" s="589"/>
    </row>
    <row r="563" spans="1:12" ht="12.95" customHeight="1" thickTop="1" x14ac:dyDescent="0.2">
      <c r="B563" s="196"/>
      <c r="C563" s="292"/>
      <c r="D563" s="319" t="s">
        <v>666</v>
      </c>
      <c r="E563" s="626">
        <f>ROUND(F562/C561,2)</f>
        <v>829.56</v>
      </c>
      <c r="F563" s="428" t="s">
        <v>809</v>
      </c>
      <c r="G563" s="186"/>
      <c r="L563" s="589"/>
    </row>
    <row r="564" spans="1:12" ht="12.95" hidden="1" customHeight="1" x14ac:dyDescent="0.2">
      <c r="B564" s="196" t="s">
        <v>810</v>
      </c>
      <c r="C564" s="292"/>
      <c r="D564" s="293"/>
      <c r="E564" s="332"/>
      <c r="F564" s="332"/>
      <c r="G564" s="260"/>
      <c r="L564" s="589"/>
    </row>
    <row r="565" spans="1:12" ht="12.95" hidden="1" customHeight="1" thickBot="1" x14ac:dyDescent="0.25">
      <c r="B565" s="196" t="s">
        <v>811</v>
      </c>
      <c r="C565" s="292"/>
      <c r="D565" s="293"/>
      <c r="E565" s="292"/>
      <c r="F565" s="292"/>
      <c r="G565" s="260"/>
      <c r="L565" s="589"/>
    </row>
    <row r="566" spans="1:12" ht="12.95" hidden="1" customHeight="1" thickTop="1" x14ac:dyDescent="0.2">
      <c r="A566" s="134"/>
      <c r="B566" s="160" t="s">
        <v>730</v>
      </c>
      <c r="C566" s="92">
        <v>1.05</v>
      </c>
      <c r="D566" s="249" t="s">
        <v>88</v>
      </c>
      <c r="E566" s="92">
        <f>F195</f>
        <v>6278.2195999999994</v>
      </c>
      <c r="F566" s="268">
        <f>ROUND(C566*E566,2)</f>
        <v>6592.13</v>
      </c>
      <c r="G566" s="622"/>
      <c r="L566" s="589"/>
    </row>
    <row r="567" spans="1:12" ht="12.95" hidden="1" customHeight="1" x14ac:dyDescent="0.2">
      <c r="A567" s="126"/>
      <c r="B567" s="162" t="s">
        <v>812</v>
      </c>
      <c r="C567" s="98">
        <v>8.15</v>
      </c>
      <c r="D567" s="250" t="s">
        <v>297</v>
      </c>
      <c r="E567" s="98">
        <f>F378</f>
        <v>3245.28</v>
      </c>
      <c r="F567" s="270">
        <f>ROUND(C567*E567,2)</f>
        <v>26449.03</v>
      </c>
      <c r="G567" s="260"/>
      <c r="L567" s="589"/>
    </row>
    <row r="568" spans="1:12" ht="12.95" hidden="1" customHeight="1" x14ac:dyDescent="0.2">
      <c r="A568" s="126"/>
      <c r="B568" s="162" t="s">
        <v>813</v>
      </c>
      <c r="C568" s="98">
        <v>44.44</v>
      </c>
      <c r="D568" s="250" t="s">
        <v>41</v>
      </c>
      <c r="E568" s="98">
        <v>100</v>
      </c>
      <c r="F568" s="270">
        <f>ROUND(C568*E568,2)</f>
        <v>4444</v>
      </c>
      <c r="G568" s="260"/>
      <c r="L568" s="589"/>
    </row>
    <row r="569" spans="1:12" ht="12.95" hidden="1" customHeight="1" thickBot="1" x14ac:dyDescent="0.25">
      <c r="A569" s="142"/>
      <c r="B569" s="182"/>
      <c r="C569" s="146"/>
      <c r="D569" s="188"/>
      <c r="E569" s="236"/>
      <c r="F569" s="175">
        <f>SUM(F566:F568)</f>
        <v>37485.159999999996</v>
      </c>
      <c r="G569" s="260"/>
      <c r="L569" s="589"/>
    </row>
    <row r="570" spans="1:12" ht="12.95" hidden="1" customHeight="1" thickTop="1" x14ac:dyDescent="0.2">
      <c r="A570" s="134"/>
      <c r="B570" s="627" t="s">
        <v>814</v>
      </c>
      <c r="C570" s="628">
        <v>1.2999999999999999E-2</v>
      </c>
      <c r="D570" s="249" t="s">
        <v>88</v>
      </c>
      <c r="E570" s="137"/>
      <c r="F570" s="629"/>
      <c r="G570" s="186"/>
      <c r="L570" s="589"/>
    </row>
    <row r="571" spans="1:12" ht="12.95" hidden="1" customHeight="1" x14ac:dyDescent="0.2">
      <c r="A571" s="126"/>
      <c r="B571" s="630" t="s">
        <v>815</v>
      </c>
      <c r="C571" s="631">
        <v>1</v>
      </c>
      <c r="D571" s="250" t="s">
        <v>8</v>
      </c>
      <c r="E571" s="632">
        <f>C570*F569</f>
        <v>487.30707999999993</v>
      </c>
      <c r="F571" s="270">
        <f>ROUND(C571*E571,2)</f>
        <v>487.31</v>
      </c>
      <c r="G571" s="260"/>
      <c r="L571" s="589"/>
    </row>
    <row r="572" spans="1:12" ht="12.95" hidden="1" customHeight="1" thickBot="1" x14ac:dyDescent="0.25">
      <c r="A572" s="142"/>
      <c r="B572" s="633" t="s">
        <v>816</v>
      </c>
      <c r="C572" s="634"/>
      <c r="D572" s="635"/>
      <c r="E572" s="236" t="s">
        <v>530</v>
      </c>
      <c r="F572" s="636">
        <f>SUM(F571:F571)</f>
        <v>487.31</v>
      </c>
      <c r="G572" s="260"/>
      <c r="L572" s="589"/>
    </row>
    <row r="573" spans="1:12" ht="12.95" hidden="1" customHeight="1" thickTop="1" x14ac:dyDescent="0.2">
      <c r="B573" s="155"/>
      <c r="C573" s="132"/>
      <c r="D573" s="261"/>
      <c r="E573" s="132"/>
      <c r="F573" s="428"/>
      <c r="G573" s="260"/>
      <c r="L573" s="589"/>
    </row>
    <row r="574" spans="1:12" ht="12.95" hidden="1" customHeight="1" x14ac:dyDescent="0.2">
      <c r="B574" s="196" t="s">
        <v>817</v>
      </c>
      <c r="C574" s="132"/>
      <c r="D574" s="261"/>
      <c r="E574" s="132"/>
      <c r="F574" s="132"/>
      <c r="G574" s="260"/>
      <c r="L574" s="589"/>
    </row>
    <row r="575" spans="1:12" ht="12.95" hidden="1" customHeight="1" thickBot="1" x14ac:dyDescent="0.25">
      <c r="B575" s="196" t="s">
        <v>818</v>
      </c>
      <c r="C575" s="637"/>
      <c r="D575" s="638"/>
      <c r="E575" s="637"/>
      <c r="F575" s="637"/>
      <c r="G575" s="639"/>
      <c r="L575" s="589"/>
    </row>
    <row r="576" spans="1:12" ht="12.95" hidden="1" customHeight="1" thickTop="1" x14ac:dyDescent="0.2">
      <c r="A576" s="134"/>
      <c r="B576" s="160" t="s">
        <v>730</v>
      </c>
      <c r="C576" s="92">
        <v>1.05</v>
      </c>
      <c r="D576" s="249" t="s">
        <v>88</v>
      </c>
      <c r="E576" s="92">
        <f>F195</f>
        <v>6278.2195999999994</v>
      </c>
      <c r="F576" s="268">
        <f>ROUND(C576*E576,2)</f>
        <v>6592.13</v>
      </c>
      <c r="G576" s="260"/>
      <c r="L576" s="589"/>
    </row>
    <row r="577" spans="1:12" ht="12.95" hidden="1" customHeight="1" x14ac:dyDescent="0.2">
      <c r="A577" s="126"/>
      <c r="B577" s="162" t="s">
        <v>812</v>
      </c>
      <c r="C577" s="98">
        <v>4.79</v>
      </c>
      <c r="D577" s="250" t="s">
        <v>297</v>
      </c>
      <c r="E577" s="98">
        <f>F378</f>
        <v>3245.28</v>
      </c>
      <c r="F577" s="270">
        <f>ROUND(C577*E577,2)</f>
        <v>15544.89</v>
      </c>
      <c r="G577" s="260"/>
      <c r="L577" s="589"/>
    </row>
    <row r="578" spans="1:12" s="642" customFormat="1" ht="12.95" hidden="1" customHeight="1" x14ac:dyDescent="0.2">
      <c r="A578" s="640"/>
      <c r="B578" s="162" t="s">
        <v>813</v>
      </c>
      <c r="C578" s="98">
        <v>16</v>
      </c>
      <c r="D578" s="250" t="s">
        <v>41</v>
      </c>
      <c r="E578" s="98">
        <v>100</v>
      </c>
      <c r="F578" s="270">
        <f>ROUND(C578*E578,2)</f>
        <v>1600</v>
      </c>
      <c r="G578" s="641"/>
      <c r="H578" s="641"/>
      <c r="I578" s="641"/>
    </row>
    <row r="579" spans="1:12" s="642" customFormat="1" ht="12.95" hidden="1" customHeight="1" thickBot="1" x14ac:dyDescent="0.25">
      <c r="A579" s="643"/>
      <c r="B579" s="182"/>
      <c r="C579" s="146"/>
      <c r="D579" s="188"/>
      <c r="E579" s="236"/>
      <c r="F579" s="175">
        <f>SUM(F576:F578)</f>
        <v>23737.02</v>
      </c>
      <c r="G579" s="641"/>
      <c r="H579" s="641"/>
      <c r="I579" s="641"/>
    </row>
    <row r="580" spans="1:12" s="642" customFormat="1" ht="12.95" hidden="1" customHeight="1" thickTop="1" x14ac:dyDescent="0.2">
      <c r="A580" s="644"/>
      <c r="B580" s="645" t="s">
        <v>819</v>
      </c>
      <c r="C580" s="132">
        <v>0.17499999999999999</v>
      </c>
      <c r="D580" s="261" t="s">
        <v>88</v>
      </c>
      <c r="E580" s="132"/>
      <c r="F580" s="132"/>
      <c r="G580" s="641"/>
      <c r="H580" s="641"/>
      <c r="I580" s="641"/>
    </row>
    <row r="581" spans="1:12" s="642" customFormat="1" ht="12.95" hidden="1" customHeight="1" x14ac:dyDescent="0.2">
      <c r="A581" s="644"/>
      <c r="B581" s="645" t="s">
        <v>820</v>
      </c>
      <c r="C581" s="132">
        <f>F579*C580</f>
        <v>4153.9785000000002</v>
      </c>
      <c r="D581" s="261" t="s">
        <v>821</v>
      </c>
      <c r="E581" s="132"/>
      <c r="F581" s="132"/>
      <c r="G581" s="641"/>
      <c r="H581" s="641"/>
      <c r="I581" s="641"/>
    </row>
    <row r="582" spans="1:12" s="642" customFormat="1" ht="12.95" hidden="1" customHeight="1" thickBot="1" x14ac:dyDescent="0.25">
      <c r="A582" s="644"/>
      <c r="B582" s="196" t="s">
        <v>822</v>
      </c>
      <c r="C582" s="637"/>
      <c r="D582" s="638"/>
      <c r="E582" s="637"/>
      <c r="F582" s="637"/>
      <c r="G582" s="641"/>
      <c r="H582" s="641"/>
      <c r="I582" s="641"/>
    </row>
    <row r="583" spans="1:12" s="642" customFormat="1" ht="12.95" hidden="1" customHeight="1" thickTop="1" x14ac:dyDescent="0.2">
      <c r="A583" s="646"/>
      <c r="B583" s="160" t="s">
        <v>730</v>
      </c>
      <c r="C583" s="92">
        <v>1.05</v>
      </c>
      <c r="D583" s="249" t="s">
        <v>88</v>
      </c>
      <c r="E583" s="92">
        <f>F195</f>
        <v>6278.2195999999994</v>
      </c>
      <c r="F583" s="268">
        <f>ROUND(C583*E583,2)</f>
        <v>6592.13</v>
      </c>
      <c r="G583" s="641"/>
      <c r="H583" s="641"/>
      <c r="I583" s="641"/>
    </row>
    <row r="584" spans="1:12" s="642" customFormat="1" ht="12.95" hidden="1" customHeight="1" x14ac:dyDescent="0.2">
      <c r="A584" s="640"/>
      <c r="B584" s="162" t="s">
        <v>812</v>
      </c>
      <c r="C584" s="98">
        <v>1.43</v>
      </c>
      <c r="D584" s="250" t="s">
        <v>297</v>
      </c>
      <c r="E584" s="98">
        <f>F378</f>
        <v>3245.28</v>
      </c>
      <c r="F584" s="270">
        <f>ROUND(C584*E584,2)</f>
        <v>4640.75</v>
      </c>
      <c r="G584" s="641"/>
      <c r="H584" s="641"/>
      <c r="I584" s="641"/>
    </row>
    <row r="585" spans="1:12" s="642" customFormat="1" ht="12.95" hidden="1" customHeight="1" thickBot="1" x14ac:dyDescent="0.25">
      <c r="A585" s="643"/>
      <c r="B585" s="182"/>
      <c r="C585" s="146"/>
      <c r="D585" s="188"/>
      <c r="E585" s="236"/>
      <c r="F585" s="175">
        <f>SUM(F583:F584)</f>
        <v>11232.880000000001</v>
      </c>
      <c r="G585" s="641"/>
      <c r="H585" s="641"/>
      <c r="I585" s="641"/>
    </row>
    <row r="586" spans="1:12" s="642" customFormat="1" ht="12.95" hidden="1" customHeight="1" thickTop="1" x14ac:dyDescent="0.2">
      <c r="A586" s="646"/>
      <c r="B586" s="627" t="s">
        <v>823</v>
      </c>
      <c r="C586" s="137">
        <v>0.14000000000000001</v>
      </c>
      <c r="D586" s="249" t="s">
        <v>88</v>
      </c>
      <c r="E586" s="137"/>
      <c r="F586" s="629"/>
      <c r="G586" s="641"/>
      <c r="H586" s="641"/>
      <c r="I586" s="641"/>
    </row>
    <row r="587" spans="1:12" s="642" customFormat="1" ht="12.95" hidden="1" customHeight="1" x14ac:dyDescent="0.2">
      <c r="A587" s="640"/>
      <c r="B587" s="630" t="s">
        <v>820</v>
      </c>
      <c r="C587" s="140">
        <f>F585*C586</f>
        <v>1572.6032000000002</v>
      </c>
      <c r="D587" s="250" t="s">
        <v>821</v>
      </c>
      <c r="E587" s="140"/>
      <c r="F587" s="647"/>
      <c r="G587" s="641"/>
      <c r="H587" s="641"/>
      <c r="I587" s="641"/>
    </row>
    <row r="588" spans="1:12" s="642" customFormat="1" ht="12.95" hidden="1" customHeight="1" x14ac:dyDescent="0.2">
      <c r="A588" s="640"/>
      <c r="B588" s="630" t="s">
        <v>824</v>
      </c>
      <c r="C588" s="631">
        <v>1</v>
      </c>
      <c r="D588" s="250" t="s">
        <v>8</v>
      </c>
      <c r="E588" s="427">
        <f>C587+C581</f>
        <v>5726.5817000000006</v>
      </c>
      <c r="F588" s="270">
        <f>ROUND(C588*E588,2)</f>
        <v>5726.58</v>
      </c>
      <c r="G588" s="641"/>
      <c r="H588" s="641"/>
      <c r="I588" s="641"/>
    </row>
    <row r="589" spans="1:12" s="642" customFormat="1" ht="12.95" hidden="1" customHeight="1" x14ac:dyDescent="0.2">
      <c r="A589" s="640"/>
      <c r="B589" s="630" t="s">
        <v>726</v>
      </c>
      <c r="C589" s="631">
        <v>2.86</v>
      </c>
      <c r="D589" s="99" t="s">
        <v>124</v>
      </c>
      <c r="E589" s="427">
        <f>F311</f>
        <v>380.97</v>
      </c>
      <c r="F589" s="270">
        <f>ROUND(C589*E589,2)</f>
        <v>1089.57</v>
      </c>
      <c r="G589" s="641"/>
      <c r="H589" s="641"/>
      <c r="I589" s="641"/>
    </row>
    <row r="590" spans="1:12" s="642" customFormat="1" ht="12.95" hidden="1" customHeight="1" x14ac:dyDescent="0.2">
      <c r="A590" s="640"/>
      <c r="B590" s="630" t="s">
        <v>127</v>
      </c>
      <c r="C590" s="631">
        <v>12.2</v>
      </c>
      <c r="D590" s="99" t="s">
        <v>41</v>
      </c>
      <c r="E590" s="427">
        <f>F356</f>
        <v>97.18</v>
      </c>
      <c r="F590" s="270">
        <f>ROUND(C590*E590,2)</f>
        <v>1185.5999999999999</v>
      </c>
      <c r="G590" s="641"/>
      <c r="H590" s="641"/>
      <c r="I590" s="641"/>
    </row>
    <row r="591" spans="1:12" s="642" customFormat="1" ht="12.95" hidden="1" customHeight="1" x14ac:dyDescent="0.2">
      <c r="A591" s="640"/>
      <c r="B591" s="630" t="s">
        <v>825</v>
      </c>
      <c r="C591" s="631">
        <v>1.76</v>
      </c>
      <c r="D591" s="99" t="s">
        <v>124</v>
      </c>
      <c r="E591" s="427">
        <v>79</v>
      </c>
      <c r="F591" s="270">
        <f>ROUND(C591*E591,2)</f>
        <v>139.04</v>
      </c>
      <c r="G591" s="641"/>
      <c r="H591" s="641"/>
      <c r="I591" s="641"/>
    </row>
    <row r="592" spans="1:12" s="130" customFormat="1" ht="12.95" hidden="1" customHeight="1" x14ac:dyDescent="0.2">
      <c r="A592" s="126"/>
      <c r="B592" s="630" t="s">
        <v>826</v>
      </c>
      <c r="C592" s="1736"/>
      <c r="D592" s="1736"/>
      <c r="E592" s="1736"/>
      <c r="F592" s="648">
        <f>SUM(F588:F591)</f>
        <v>8140.79</v>
      </c>
      <c r="G592" s="260"/>
      <c r="H592" s="260"/>
      <c r="I592" s="260"/>
      <c r="J592" s="369"/>
    </row>
    <row r="593" spans="1:13" s="654" customFormat="1" ht="12.95" hidden="1" customHeight="1" thickBot="1" x14ac:dyDescent="0.25">
      <c r="A593" s="643"/>
      <c r="B593" s="633" t="s">
        <v>817</v>
      </c>
      <c r="C593" s="649" t="s">
        <v>820</v>
      </c>
      <c r="D593" s="188"/>
      <c r="E593" s="650">
        <f>F592</f>
        <v>8140.79</v>
      </c>
      <c r="F593" s="651"/>
      <c r="G593" s="652"/>
      <c r="H593" s="652"/>
      <c r="I593" s="652"/>
      <c r="J593" s="653"/>
    </row>
    <row r="594" spans="1:13" s="654" customFormat="1" ht="12.95" hidden="1" customHeight="1" thickTop="1" x14ac:dyDescent="0.2">
      <c r="A594" s="644"/>
      <c r="B594" s="130"/>
      <c r="C594" s="132"/>
      <c r="D594" s="261"/>
      <c r="E594" s="132"/>
      <c r="F594" s="132"/>
      <c r="G594" s="652"/>
      <c r="H594" s="652"/>
      <c r="I594" s="652"/>
      <c r="J594" s="653"/>
    </row>
    <row r="595" spans="1:13" s="297" customFormat="1" ht="12.95" hidden="1" customHeight="1" thickBot="1" x14ac:dyDescent="0.25">
      <c r="B595" s="655" t="s">
        <v>827</v>
      </c>
      <c r="C595" s="656"/>
      <c r="D595" s="656"/>
      <c r="E595" s="656"/>
      <c r="F595" s="656"/>
      <c r="G595" s="320"/>
      <c r="H595" s="320"/>
      <c r="I595" s="321"/>
      <c r="J595" s="322"/>
      <c r="K595" s="130"/>
      <c r="L595" s="196"/>
    </row>
    <row r="596" spans="1:13" s="297" customFormat="1" ht="12.95" hidden="1" customHeight="1" thickTop="1" x14ac:dyDescent="0.2">
      <c r="A596" s="657"/>
      <c r="B596" s="658" t="s">
        <v>828</v>
      </c>
      <c r="C596" s="659">
        <v>18</v>
      </c>
      <c r="D596" s="660" t="s">
        <v>41</v>
      </c>
      <c r="E596" s="659">
        <v>307.38</v>
      </c>
      <c r="F596" s="268">
        <f>ROUND(C596*E596,2)</f>
        <v>5532.84</v>
      </c>
      <c r="G596" s="294"/>
      <c r="H596" s="294"/>
      <c r="I596" s="295"/>
      <c r="J596" s="296"/>
      <c r="K596" s="130"/>
      <c r="L596" s="130"/>
    </row>
    <row r="597" spans="1:13" s="323" customFormat="1" ht="12.95" hidden="1" customHeight="1" x14ac:dyDescent="0.2">
      <c r="A597" s="661"/>
      <c r="B597" s="662" t="s">
        <v>829</v>
      </c>
      <c r="C597" s="663">
        <v>2</v>
      </c>
      <c r="D597" s="664" t="s">
        <v>8</v>
      </c>
      <c r="E597" s="663">
        <v>75</v>
      </c>
      <c r="F597" s="270">
        <f t="shared" ref="F597:F603" si="15">ROUND(C597*E597,2)</f>
        <v>150</v>
      </c>
      <c r="G597" s="303"/>
      <c r="H597" s="303"/>
      <c r="I597" s="295"/>
      <c r="J597" s="296"/>
      <c r="K597" s="130"/>
      <c r="L597" s="130"/>
      <c r="M597" s="297"/>
    </row>
    <row r="598" spans="1:13" s="297" customFormat="1" ht="12.95" hidden="1" customHeight="1" x14ac:dyDescent="0.2">
      <c r="A598" s="665"/>
      <c r="B598" s="662" t="s">
        <v>830</v>
      </c>
      <c r="C598" s="663">
        <v>5</v>
      </c>
      <c r="D598" s="664" t="s">
        <v>8</v>
      </c>
      <c r="E598" s="666">
        <v>118.81</v>
      </c>
      <c r="F598" s="270">
        <f t="shared" si="15"/>
        <v>594.04999999999995</v>
      </c>
      <c r="G598" s="303"/>
      <c r="H598" s="303">
        <f>E598*1.18</f>
        <v>140.19579999999999</v>
      </c>
      <c r="I598" s="295"/>
      <c r="J598" s="296"/>
      <c r="K598" s="130"/>
      <c r="L598" s="130"/>
    </row>
    <row r="599" spans="1:13" s="297" customFormat="1" ht="12.95" hidden="1" customHeight="1" x14ac:dyDescent="0.2">
      <c r="A599" s="665"/>
      <c r="B599" s="662" t="s">
        <v>831</v>
      </c>
      <c r="C599" s="663">
        <v>7</v>
      </c>
      <c r="D599" s="667" t="s">
        <v>8</v>
      </c>
      <c r="E599" s="663">
        <v>110</v>
      </c>
      <c r="F599" s="270">
        <f t="shared" si="15"/>
        <v>770</v>
      </c>
      <c r="G599" s="303"/>
      <c r="H599" s="303"/>
      <c r="I599" s="295"/>
      <c r="J599" s="296"/>
      <c r="K599" s="130"/>
      <c r="L599" s="130"/>
    </row>
    <row r="600" spans="1:13" s="297" customFormat="1" ht="12.95" hidden="1" customHeight="1" x14ac:dyDescent="0.2">
      <c r="A600" s="665"/>
      <c r="B600" s="662" t="s">
        <v>832</v>
      </c>
      <c r="C600" s="663">
        <v>7</v>
      </c>
      <c r="D600" s="664" t="s">
        <v>8</v>
      </c>
      <c r="E600" s="663">
        <v>300</v>
      </c>
      <c r="F600" s="270">
        <f t="shared" si="15"/>
        <v>2100</v>
      </c>
      <c r="G600" s="303"/>
      <c r="H600" s="303"/>
      <c r="I600" s="295"/>
      <c r="J600" s="296"/>
      <c r="K600" s="130"/>
      <c r="L600" s="130"/>
    </row>
    <row r="601" spans="1:13" s="297" customFormat="1" ht="12.95" hidden="1" customHeight="1" x14ac:dyDescent="0.2">
      <c r="A601" s="665"/>
      <c r="B601" s="662" t="s">
        <v>833</v>
      </c>
      <c r="C601" s="663">
        <v>2.15</v>
      </c>
      <c r="D601" s="664" t="s">
        <v>124</v>
      </c>
      <c r="E601" s="663">
        <v>110.95</v>
      </c>
      <c r="F601" s="270">
        <f t="shared" si="15"/>
        <v>238.54</v>
      </c>
      <c r="G601" s="303"/>
      <c r="H601" s="303"/>
      <c r="I601" s="295"/>
      <c r="J601" s="296"/>
      <c r="K601" s="130"/>
      <c r="L601" s="130"/>
    </row>
    <row r="602" spans="1:13" s="297" customFormat="1" ht="12.95" hidden="1" customHeight="1" x14ac:dyDescent="0.2">
      <c r="A602" s="665"/>
      <c r="B602" s="662" t="s">
        <v>834</v>
      </c>
      <c r="C602" s="663">
        <v>2.15</v>
      </c>
      <c r="D602" s="664" t="s">
        <v>124</v>
      </c>
      <c r="E602" s="666">
        <v>130.5</v>
      </c>
      <c r="F602" s="270">
        <f t="shared" si="15"/>
        <v>280.58</v>
      </c>
      <c r="G602" s="303"/>
      <c r="H602" s="309"/>
      <c r="I602" s="295"/>
      <c r="J602" s="296"/>
      <c r="K602" s="130"/>
      <c r="L602" s="130"/>
    </row>
    <row r="603" spans="1:13" s="297" customFormat="1" ht="12.95" hidden="1" customHeight="1" thickBot="1" x14ac:dyDescent="0.25">
      <c r="A603" s="665"/>
      <c r="B603" s="668" t="s">
        <v>835</v>
      </c>
      <c r="C603" s="669">
        <v>1</v>
      </c>
      <c r="D603" s="670" t="s">
        <v>8</v>
      </c>
      <c r="E603" s="669">
        <v>5320</v>
      </c>
      <c r="F603" s="270">
        <f t="shared" si="15"/>
        <v>5320</v>
      </c>
      <c r="G603" s="303"/>
      <c r="H603" s="309"/>
      <c r="I603" s="295"/>
      <c r="J603" s="296"/>
      <c r="K603" s="130">
        <f>6000*0.38</f>
        <v>2280</v>
      </c>
      <c r="L603" s="130">
        <f>8000*0.38</f>
        <v>3040</v>
      </c>
    </row>
    <row r="604" spans="1:13" s="297" customFormat="1" ht="12.95" hidden="1" customHeight="1" thickTop="1" x14ac:dyDescent="0.2">
      <c r="A604" s="665"/>
      <c r="B604" s="658"/>
      <c r="C604" s="671"/>
      <c r="D604" s="672"/>
      <c r="E604" s="673" t="s">
        <v>836</v>
      </c>
      <c r="F604" s="674">
        <f>SUM(F596:F603)</f>
        <v>14986.01</v>
      </c>
      <c r="G604" s="303"/>
      <c r="H604" s="309"/>
      <c r="I604" s="295"/>
      <c r="J604" s="296"/>
      <c r="K604" s="196"/>
      <c r="L604" s="323"/>
    </row>
    <row r="605" spans="1:13" s="297" customFormat="1" ht="12.95" hidden="1" customHeight="1" thickBot="1" x14ac:dyDescent="0.25">
      <c r="A605" s="310"/>
      <c r="B605" s="675"/>
      <c r="C605" s="676"/>
      <c r="D605" s="677"/>
      <c r="E605" s="678" t="s">
        <v>837</v>
      </c>
      <c r="F605" s="679">
        <f>F604/6</f>
        <v>2497.6683333333335</v>
      </c>
      <c r="G605" s="680"/>
      <c r="H605" s="316"/>
      <c r="I605" s="316"/>
      <c r="J605" s="296"/>
      <c r="K605" s="130"/>
      <c r="L605" s="297">
        <f>L603+K603</f>
        <v>5320</v>
      </c>
    </row>
    <row r="606" spans="1:13" s="297" customFormat="1" ht="12.95" hidden="1" customHeight="1" thickTop="1" x14ac:dyDescent="0.2">
      <c r="B606" s="655"/>
      <c r="C606" s="681"/>
      <c r="D606" s="681"/>
      <c r="E606" s="681"/>
      <c r="F606" s="681"/>
      <c r="G606" s="326"/>
      <c r="H606" s="316"/>
      <c r="I606" s="316"/>
      <c r="J606" s="296"/>
      <c r="K606" s="130"/>
    </row>
    <row r="607" spans="1:13" s="297" customFormat="1" ht="6.75" hidden="1" customHeight="1" x14ac:dyDescent="0.2">
      <c r="B607" s="682"/>
      <c r="C607" s="292"/>
      <c r="D607" s="293"/>
      <c r="E607" s="292"/>
      <c r="F607" s="292"/>
      <c r="G607" s="303"/>
      <c r="H607" s="303"/>
      <c r="I607" s="295"/>
      <c r="J607" s="369"/>
      <c r="K607" s="130"/>
    </row>
    <row r="608" spans="1:13" s="297" customFormat="1" ht="12.95" hidden="1" customHeight="1" thickBot="1" x14ac:dyDescent="0.25">
      <c r="B608" s="618" t="s">
        <v>838</v>
      </c>
      <c r="C608" s="683">
        <v>12</v>
      </c>
      <c r="D608" s="293" t="s">
        <v>41</v>
      </c>
      <c r="E608" s="292"/>
      <c r="F608" s="292"/>
      <c r="G608" s="303"/>
      <c r="H608" s="303"/>
      <c r="I608" s="295"/>
      <c r="J608" s="369"/>
      <c r="K608" s="130"/>
    </row>
    <row r="609" spans="1:11" s="297" customFormat="1" ht="26.25" hidden="1" customHeight="1" thickTop="1" x14ac:dyDescent="0.2">
      <c r="A609" s="657"/>
      <c r="B609" s="684" t="s">
        <v>839</v>
      </c>
      <c r="C609" s="685">
        <v>3</v>
      </c>
      <c r="D609" s="686" t="s">
        <v>440</v>
      </c>
      <c r="E609" s="685">
        <v>40</v>
      </c>
      <c r="F609" s="334">
        <f t="shared" ref="F609:F615" si="16">ROUND(C609*E609,2)</f>
        <v>120</v>
      </c>
      <c r="G609" s="303"/>
      <c r="H609" s="303"/>
      <c r="I609" s="295"/>
      <c r="J609" s="369"/>
      <c r="K609" s="130"/>
    </row>
    <row r="610" spans="1:11" s="297" customFormat="1" ht="12.95" hidden="1" customHeight="1" x14ac:dyDescent="0.2">
      <c r="A610" s="665"/>
      <c r="B610" s="687" t="s">
        <v>840</v>
      </c>
      <c r="C610" s="688">
        <v>0.27</v>
      </c>
      <c r="D610" s="689" t="s">
        <v>325</v>
      </c>
      <c r="E610" s="688">
        <v>32</v>
      </c>
      <c r="F610" s="335">
        <f t="shared" si="16"/>
        <v>8.64</v>
      </c>
      <c r="G610" s="303"/>
      <c r="H610" s="303"/>
      <c r="I610" s="295"/>
      <c r="J610" s="369"/>
      <c r="K610" s="130"/>
    </row>
    <row r="611" spans="1:11" s="297" customFormat="1" ht="12.95" hidden="1" customHeight="1" x14ac:dyDescent="0.2">
      <c r="A611" s="665"/>
      <c r="B611" s="687" t="s">
        <v>284</v>
      </c>
      <c r="C611" s="688">
        <v>0.48</v>
      </c>
      <c r="D611" s="689" t="s">
        <v>278</v>
      </c>
      <c r="E611" s="688">
        <v>106</v>
      </c>
      <c r="F611" s="335">
        <f t="shared" si="16"/>
        <v>50.88</v>
      </c>
      <c r="G611" s="303"/>
      <c r="H611" s="303"/>
      <c r="I611" s="295"/>
      <c r="J611" s="369"/>
      <c r="K611" s="130"/>
    </row>
    <row r="612" spans="1:11" s="297" customFormat="1" ht="12.95" hidden="1" customHeight="1" x14ac:dyDescent="0.2">
      <c r="A612" s="665"/>
      <c r="B612" s="687" t="s">
        <v>841</v>
      </c>
      <c r="C612" s="688">
        <v>0.06</v>
      </c>
      <c r="D612" s="689" t="s">
        <v>842</v>
      </c>
      <c r="E612" s="688">
        <v>140</v>
      </c>
      <c r="F612" s="335">
        <f t="shared" si="16"/>
        <v>8.4</v>
      </c>
      <c r="G612" s="303"/>
      <c r="H612" s="303"/>
      <c r="I612" s="295"/>
      <c r="J612" s="369">
        <f>F40</f>
        <v>847</v>
      </c>
      <c r="K612" s="130"/>
    </row>
    <row r="613" spans="1:11" s="297" customFormat="1" ht="12.95" hidden="1" customHeight="1" x14ac:dyDescent="0.2">
      <c r="A613" s="665"/>
      <c r="B613" s="690" t="s">
        <v>843</v>
      </c>
      <c r="C613" s="688"/>
      <c r="D613" s="689"/>
      <c r="E613" s="688"/>
      <c r="F613" s="691"/>
      <c r="G613" s="303"/>
      <c r="H613" s="303"/>
      <c r="I613" s="295"/>
      <c r="J613" s="369"/>
      <c r="K613" s="130"/>
    </row>
    <row r="614" spans="1:11" s="297" customFormat="1" ht="12.95" hidden="1" customHeight="1" x14ac:dyDescent="0.2">
      <c r="A614" s="665"/>
      <c r="B614" s="687" t="s">
        <v>844</v>
      </c>
      <c r="C614" s="688">
        <v>0.18</v>
      </c>
      <c r="D614" s="689" t="s">
        <v>343</v>
      </c>
      <c r="E614" s="688">
        <f>F38</f>
        <v>1255</v>
      </c>
      <c r="F614" s="335">
        <f t="shared" si="16"/>
        <v>225.9</v>
      </c>
      <c r="G614" s="303"/>
      <c r="H614" s="303"/>
      <c r="I614" s="295"/>
      <c r="J614" s="369"/>
      <c r="K614" s="130"/>
    </row>
    <row r="615" spans="1:11" s="297" customFormat="1" ht="12.95" hidden="1" customHeight="1" x14ac:dyDescent="0.2">
      <c r="A615" s="665"/>
      <c r="B615" s="687" t="s">
        <v>845</v>
      </c>
      <c r="C615" s="688">
        <v>0.41</v>
      </c>
      <c r="D615" s="689" t="s">
        <v>343</v>
      </c>
      <c r="E615" s="688">
        <f>F40</f>
        <v>847</v>
      </c>
      <c r="F615" s="335">
        <f t="shared" si="16"/>
        <v>347.27</v>
      </c>
      <c r="G615" s="303"/>
      <c r="H615" s="303"/>
      <c r="I615" s="295"/>
      <c r="J615" s="369"/>
      <c r="K615" s="130"/>
    </row>
    <row r="616" spans="1:11" s="297" customFormat="1" ht="12.95" hidden="1" customHeight="1" x14ac:dyDescent="0.2">
      <c r="A616" s="665"/>
      <c r="B616" s="687" t="s">
        <v>846</v>
      </c>
      <c r="C616" s="688">
        <v>3</v>
      </c>
      <c r="D616" s="689" t="s">
        <v>234</v>
      </c>
      <c r="E616" s="688">
        <f>SUM(F614:F615)</f>
        <v>573.16999999999996</v>
      </c>
      <c r="F616" s="335">
        <f>ROUND(C616*E616,2)/100</f>
        <v>17.1951</v>
      </c>
      <c r="G616" s="303"/>
      <c r="H616" s="303"/>
      <c r="I616" s="295"/>
      <c r="J616" s="369"/>
      <c r="K616" s="130"/>
    </row>
    <row r="617" spans="1:11" s="297" customFormat="1" ht="12.95" hidden="1" customHeight="1" thickBot="1" x14ac:dyDescent="0.25">
      <c r="A617" s="692"/>
      <c r="B617" s="693"/>
      <c r="C617" s="694"/>
      <c r="D617" s="695"/>
      <c r="E617" s="696" t="s">
        <v>847</v>
      </c>
      <c r="F617" s="697">
        <f>SUM(F609:F616)</f>
        <v>778.28509999999994</v>
      </c>
      <c r="G617" s="303"/>
      <c r="H617" s="303">
        <f>F617*4</f>
        <v>3113.1403999999998</v>
      </c>
      <c r="I617" s="295"/>
      <c r="J617" s="369"/>
      <c r="K617" s="130"/>
    </row>
    <row r="618" spans="1:11" s="297" customFormat="1" ht="12.95" hidden="1" customHeight="1" thickTop="1" thickBot="1" x14ac:dyDescent="0.25">
      <c r="A618" s="698"/>
      <c r="B618" s="699"/>
      <c r="C618" s="700"/>
      <c r="D618" s="701"/>
      <c r="E618" s="702" t="s">
        <v>848</v>
      </c>
      <c r="F618" s="703">
        <f>F617/C608</f>
        <v>64.857091666666662</v>
      </c>
      <c r="G618" s="303"/>
      <c r="H618" s="303">
        <f>H617/144</f>
        <v>21.619030555555554</v>
      </c>
      <c r="I618" s="295"/>
      <c r="J618" s="369"/>
      <c r="K618" s="130"/>
    </row>
    <row r="619" spans="1:11" s="297" customFormat="1" ht="10.5" hidden="1" customHeight="1" thickTop="1" x14ac:dyDescent="0.2">
      <c r="B619" s="682"/>
      <c r="C619" s="292"/>
      <c r="D619" s="293"/>
      <c r="E619" s="292"/>
      <c r="F619" s="292"/>
      <c r="G619" s="303"/>
      <c r="H619" s="303"/>
      <c r="I619" s="295"/>
      <c r="J619" s="369"/>
      <c r="K619" s="130"/>
    </row>
    <row r="620" spans="1:11" s="297" customFormat="1" ht="12.95" hidden="1" customHeight="1" thickBot="1" x14ac:dyDescent="0.25">
      <c r="B620" s="618" t="s">
        <v>849</v>
      </c>
      <c r="C620" s="683"/>
      <c r="D620" s="293"/>
      <c r="E620" s="292"/>
      <c r="F620" s="292"/>
      <c r="G620" s="303"/>
      <c r="H620" s="303"/>
      <c r="I620" s="295"/>
      <c r="J620" s="369"/>
      <c r="K620" s="130"/>
    </row>
    <row r="621" spans="1:11" s="297" customFormat="1" ht="12.95" hidden="1" customHeight="1" thickTop="1" x14ac:dyDescent="0.2">
      <c r="A621" s="657"/>
      <c r="B621" s="684" t="s">
        <v>839</v>
      </c>
      <c r="C621" s="685">
        <v>5</v>
      </c>
      <c r="D621" s="686" t="s">
        <v>440</v>
      </c>
      <c r="E621" s="685">
        <v>40</v>
      </c>
      <c r="F621" s="334">
        <f>ROUND(C621*E621,2)</f>
        <v>200</v>
      </c>
      <c r="G621" s="303"/>
      <c r="H621" s="303"/>
      <c r="I621" s="295"/>
      <c r="J621" s="369"/>
      <c r="K621" s="130"/>
    </row>
    <row r="622" spans="1:11" s="297" customFormat="1" ht="12.95" hidden="1" customHeight="1" x14ac:dyDescent="0.2">
      <c r="A622" s="665"/>
      <c r="B622" s="687" t="s">
        <v>840</v>
      </c>
      <c r="C622" s="688">
        <v>1</v>
      </c>
      <c r="D622" s="689" t="s">
        <v>325</v>
      </c>
      <c r="E622" s="688">
        <v>32</v>
      </c>
      <c r="F622" s="335">
        <f>ROUND(C622*E622,2)</f>
        <v>32</v>
      </c>
      <c r="G622" s="303"/>
      <c r="H622" s="303"/>
      <c r="I622" s="295"/>
      <c r="J622" s="369"/>
      <c r="K622" s="130"/>
    </row>
    <row r="623" spans="1:11" s="297" customFormat="1" ht="12.95" hidden="1" customHeight="1" x14ac:dyDescent="0.2">
      <c r="A623" s="665"/>
      <c r="B623" s="687" t="s">
        <v>284</v>
      </c>
      <c r="C623" s="688">
        <v>0.32</v>
      </c>
      <c r="D623" s="689" t="s">
        <v>278</v>
      </c>
      <c r="E623" s="688">
        <v>106</v>
      </c>
      <c r="F623" s="335">
        <f>ROUND(C623*E623,2)</f>
        <v>33.92</v>
      </c>
      <c r="G623" s="303"/>
      <c r="H623" s="303"/>
      <c r="I623" s="295"/>
      <c r="J623" s="369"/>
      <c r="K623" s="130"/>
    </row>
    <row r="624" spans="1:11" s="297" customFormat="1" ht="12.95" hidden="1" customHeight="1" x14ac:dyDescent="0.2">
      <c r="A624" s="665"/>
      <c r="B624" s="687" t="s">
        <v>841</v>
      </c>
      <c r="C624" s="688">
        <v>0.16</v>
      </c>
      <c r="D624" s="689" t="s">
        <v>842</v>
      </c>
      <c r="E624" s="688">
        <v>140</v>
      </c>
      <c r="F624" s="335">
        <f>ROUND(C624*E624,2)</f>
        <v>22.4</v>
      </c>
      <c r="G624" s="303"/>
      <c r="H624" s="303"/>
      <c r="I624" s="295">
        <v>8</v>
      </c>
      <c r="J624" s="369"/>
      <c r="K624" s="130"/>
    </row>
    <row r="625" spans="1:13" s="297" customFormat="1" ht="12.95" hidden="1" customHeight="1" x14ac:dyDescent="0.2">
      <c r="A625" s="665"/>
      <c r="B625" s="704" t="s">
        <v>843</v>
      </c>
      <c r="C625" s="705"/>
      <c r="D625" s="706"/>
      <c r="E625" s="705"/>
      <c r="F625" s="707"/>
      <c r="G625" s="303"/>
      <c r="H625" s="303"/>
      <c r="I625" s="708">
        <v>3.4000000000000002E-2</v>
      </c>
      <c r="J625" s="369"/>
      <c r="K625" s="130"/>
    </row>
    <row r="626" spans="1:13" s="297" customFormat="1" ht="12.95" hidden="1" customHeight="1" x14ac:dyDescent="0.2">
      <c r="A626" s="665"/>
      <c r="B626" s="687" t="s">
        <v>844</v>
      </c>
      <c r="C626" s="688">
        <v>0.12</v>
      </c>
      <c r="D626" s="689" t="s">
        <v>343</v>
      </c>
      <c r="E626" s="688">
        <f>F38</f>
        <v>1255</v>
      </c>
      <c r="F626" s="335">
        <f>ROUND(C626*E626,2)</f>
        <v>150.6</v>
      </c>
      <c r="G626" s="303"/>
      <c r="H626" s="303"/>
      <c r="I626" s="295">
        <f>I625*I624</f>
        <v>0.27200000000000002</v>
      </c>
      <c r="J626" s="369"/>
      <c r="K626" s="130"/>
    </row>
    <row r="627" spans="1:13" s="297" customFormat="1" ht="12.95" hidden="1" customHeight="1" x14ac:dyDescent="0.2">
      <c r="A627" s="665"/>
      <c r="B627" s="687" t="s">
        <v>845</v>
      </c>
      <c r="C627" s="688">
        <v>0.27</v>
      </c>
      <c r="D627" s="689" t="s">
        <v>343</v>
      </c>
      <c r="E627" s="688">
        <f>F40</f>
        <v>847</v>
      </c>
      <c r="F627" s="335">
        <f>ROUND(C627*E627,2)</f>
        <v>228.69</v>
      </c>
      <c r="G627" s="303"/>
      <c r="H627" s="303"/>
      <c r="I627" s="295"/>
      <c r="J627" s="369"/>
      <c r="K627" s="130"/>
    </row>
    <row r="628" spans="1:13" s="297" customFormat="1" ht="12.95" hidden="1" customHeight="1" x14ac:dyDescent="0.2">
      <c r="A628" s="665"/>
      <c r="B628" s="687" t="s">
        <v>846</v>
      </c>
      <c r="C628" s="688">
        <v>3</v>
      </c>
      <c r="D628" s="689" t="s">
        <v>234</v>
      </c>
      <c r="E628" s="688">
        <f>SUM(F626:F627)</f>
        <v>379.28999999999996</v>
      </c>
      <c r="F628" s="335">
        <f>ROUND(C628*E628,2)/100</f>
        <v>11.378699999999998</v>
      </c>
      <c r="G628" s="303"/>
      <c r="H628" s="303"/>
      <c r="I628" s="295"/>
      <c r="J628" s="369"/>
      <c r="K628" s="130"/>
    </row>
    <row r="629" spans="1:13" s="297" customFormat="1" ht="12.95" hidden="1" customHeight="1" thickBot="1" x14ac:dyDescent="0.25">
      <c r="A629" s="692"/>
      <c r="B629" s="693"/>
      <c r="C629" s="694"/>
      <c r="D629" s="695"/>
      <c r="E629" s="696" t="s">
        <v>850</v>
      </c>
      <c r="F629" s="697">
        <f>SUM(F621:F628)</f>
        <v>678.98869999999988</v>
      </c>
      <c r="G629" s="303"/>
      <c r="H629" s="303"/>
      <c r="I629" s="295"/>
      <c r="J629" s="369"/>
      <c r="K629" s="130"/>
    </row>
    <row r="630" spans="1:13" s="297" customFormat="1" ht="12.95" hidden="1" customHeight="1" thickTop="1" x14ac:dyDescent="0.2">
      <c r="A630" s="709"/>
      <c r="B630" s="710">
        <v>8</v>
      </c>
      <c r="C630" s="278" t="s">
        <v>41</v>
      </c>
      <c r="D630" s="711"/>
      <c r="E630" s="712" t="s">
        <v>848</v>
      </c>
      <c r="F630" s="713">
        <f>F629/B630</f>
        <v>84.873587499999985</v>
      </c>
      <c r="G630" s="303"/>
      <c r="H630" s="303"/>
      <c r="I630" s="295"/>
      <c r="J630" s="369"/>
      <c r="K630" s="130"/>
    </row>
    <row r="631" spans="1:13" s="297" customFormat="1" ht="12.95" hidden="1" customHeight="1" thickBot="1" x14ac:dyDescent="0.25">
      <c r="A631" s="310"/>
      <c r="B631" s="714">
        <v>4</v>
      </c>
      <c r="C631" s="312" t="s">
        <v>124</v>
      </c>
      <c r="D631" s="313"/>
      <c r="E631" s="715" t="s">
        <v>851</v>
      </c>
      <c r="F631" s="716">
        <f>F629/B631</f>
        <v>169.74717499999997</v>
      </c>
      <c r="G631" s="303"/>
      <c r="H631" s="303"/>
      <c r="I631" s="295"/>
      <c r="J631" s="369"/>
      <c r="K631" s="130"/>
    </row>
    <row r="632" spans="1:13" s="297" customFormat="1" ht="8.25" hidden="1" customHeight="1" thickTop="1" x14ac:dyDescent="0.2">
      <c r="B632" s="682"/>
      <c r="C632" s="292"/>
      <c r="D632" s="293"/>
      <c r="E632" s="292"/>
      <c r="F632" s="292"/>
      <c r="G632" s="303"/>
      <c r="H632" s="303"/>
      <c r="I632" s="295"/>
      <c r="J632" s="369"/>
      <c r="K632" s="130"/>
    </row>
    <row r="633" spans="1:13" s="297" customFormat="1" ht="12.95" hidden="1" customHeight="1" x14ac:dyDescent="0.2">
      <c r="B633" s="618" t="s">
        <v>852</v>
      </c>
      <c r="C633" s="292"/>
      <c r="D633" s="293"/>
      <c r="E633" s="292"/>
      <c r="F633" s="292"/>
      <c r="G633" s="303"/>
      <c r="H633" s="303"/>
      <c r="I633" s="295"/>
      <c r="J633" s="369"/>
      <c r="K633" s="130"/>
    </row>
    <row r="634" spans="1:13" s="297" customFormat="1" ht="12.95" hidden="1" customHeight="1" x14ac:dyDescent="0.2">
      <c r="B634" s="291" t="s">
        <v>853</v>
      </c>
      <c r="C634" s="292">
        <v>68</v>
      </c>
      <c r="D634" s="319" t="s">
        <v>41</v>
      </c>
      <c r="E634" s="318"/>
      <c r="F634" s="318"/>
      <c r="G634" s="303"/>
      <c r="H634" s="303">
        <v>14</v>
      </c>
      <c r="I634" s="295"/>
      <c r="J634" s="369"/>
      <c r="K634" s="130"/>
    </row>
    <row r="635" spans="1:13" s="297" customFormat="1" ht="12.95" hidden="1" customHeight="1" thickBot="1" x14ac:dyDescent="0.25">
      <c r="B635" s="682" t="s">
        <v>854</v>
      </c>
      <c r="C635" s="292">
        <v>200</v>
      </c>
      <c r="D635" s="293" t="s">
        <v>124</v>
      </c>
      <c r="E635" s="292"/>
      <c r="F635" s="292"/>
      <c r="G635" s="303"/>
      <c r="H635" s="303">
        <v>14</v>
      </c>
      <c r="I635" s="295"/>
      <c r="J635" s="369"/>
      <c r="K635" s="130"/>
    </row>
    <row r="636" spans="1:13" s="297" customFormat="1" ht="12.95" hidden="1" customHeight="1" thickTop="1" x14ac:dyDescent="0.2">
      <c r="A636" s="717"/>
      <c r="B636" s="299" t="s">
        <v>855</v>
      </c>
      <c r="C636" s="300">
        <f>ROUND(C634*10/95,2)</f>
        <v>7.16</v>
      </c>
      <c r="D636" s="301" t="s">
        <v>325</v>
      </c>
      <c r="E636" s="300">
        <f>F31</f>
        <v>40</v>
      </c>
      <c r="F636" s="334">
        <f t="shared" ref="F636:F643" si="17">ROUND(C636*E636,2)</f>
        <v>286.39999999999998</v>
      </c>
      <c r="G636" s="303"/>
      <c r="H636" s="303">
        <f>(H635+H634)*2</f>
        <v>56</v>
      </c>
      <c r="I636" s="295"/>
      <c r="J636" s="369"/>
      <c r="K636" s="323"/>
    </row>
    <row r="637" spans="1:13" s="297" customFormat="1" ht="12.95" hidden="1" customHeight="1" x14ac:dyDescent="0.2">
      <c r="A637" s="717"/>
      <c r="B637" s="305" t="s">
        <v>856</v>
      </c>
      <c r="C637" s="306">
        <f>ROUND(C634*0.04,2)</f>
        <v>2.72</v>
      </c>
      <c r="D637" s="307" t="s">
        <v>278</v>
      </c>
      <c r="E637" s="306">
        <f>+F16</f>
        <v>200</v>
      </c>
      <c r="F637" s="335">
        <f t="shared" si="17"/>
        <v>544</v>
      </c>
      <c r="G637" s="303"/>
      <c r="H637" s="303"/>
      <c r="I637" s="295"/>
      <c r="J637" s="369"/>
    </row>
    <row r="638" spans="1:13" s="297" customFormat="1" ht="12.95" hidden="1" customHeight="1" x14ac:dyDescent="0.2">
      <c r="A638" s="717"/>
      <c r="B638" s="305" t="s">
        <v>857</v>
      </c>
      <c r="C638" s="718">
        <f>ROUND($C$634*0.608,2)</f>
        <v>41.34</v>
      </c>
      <c r="D638" s="307" t="s">
        <v>172</v>
      </c>
      <c r="E638" s="306">
        <f>F28</f>
        <v>45</v>
      </c>
      <c r="F638" s="335">
        <f t="shared" si="17"/>
        <v>1860.3</v>
      </c>
      <c r="G638" s="303"/>
      <c r="H638" s="309"/>
      <c r="I638" s="295"/>
      <c r="J638" s="369"/>
    </row>
    <row r="639" spans="1:13" s="297" customFormat="1" ht="12.95" hidden="1" customHeight="1" x14ac:dyDescent="0.2">
      <c r="A639" s="717"/>
      <c r="B639" s="305" t="s">
        <v>858</v>
      </c>
      <c r="C639" s="718">
        <f>ROUND($C$634*0.005,2)</f>
        <v>0.34</v>
      </c>
      <c r="D639" s="307" t="s">
        <v>8</v>
      </c>
      <c r="E639" s="306">
        <v>180</v>
      </c>
      <c r="F639" s="335">
        <f t="shared" si="17"/>
        <v>61.2</v>
      </c>
      <c r="G639" s="719"/>
      <c r="H639" s="316"/>
      <c r="I639" s="316"/>
      <c r="J639" s="369"/>
      <c r="M639" s="323"/>
    </row>
    <row r="640" spans="1:13" s="297" customFormat="1" ht="12.95" hidden="1" customHeight="1" x14ac:dyDescent="0.2">
      <c r="A640" s="717"/>
      <c r="B640" s="305" t="s">
        <v>859</v>
      </c>
      <c r="C640" s="306">
        <f>ROUND($C$634*0.034,1)</f>
        <v>2.2999999999999998</v>
      </c>
      <c r="D640" s="307" t="s">
        <v>8</v>
      </c>
      <c r="E640" s="306">
        <f>F43</f>
        <v>6937</v>
      </c>
      <c r="F640" s="335">
        <f t="shared" si="17"/>
        <v>15955.1</v>
      </c>
      <c r="G640" s="719"/>
      <c r="H640" s="316"/>
      <c r="I640" s="316"/>
      <c r="J640" s="369"/>
    </row>
    <row r="641" spans="1:11" s="297" customFormat="1" ht="12.95" hidden="1" customHeight="1" x14ac:dyDescent="0.2">
      <c r="A641" s="717"/>
      <c r="B641" s="305" t="s">
        <v>860</v>
      </c>
      <c r="C641" s="306">
        <f>ROUND($C$634*0.015,1)</f>
        <v>1</v>
      </c>
      <c r="D641" s="307" t="s">
        <v>8</v>
      </c>
      <c r="E641" s="306">
        <f>F42</f>
        <v>659</v>
      </c>
      <c r="F641" s="335">
        <f t="shared" si="17"/>
        <v>659</v>
      </c>
      <c r="G641" s="320"/>
      <c r="H641" s="320"/>
      <c r="I641" s="321"/>
      <c r="J641" s="720"/>
    </row>
    <row r="642" spans="1:11" s="297" customFormat="1" ht="12.95" hidden="1" customHeight="1" x14ac:dyDescent="0.2">
      <c r="A642" s="717"/>
      <c r="B642" s="721" t="s">
        <v>861</v>
      </c>
      <c r="C642" s="306">
        <f>ROUND($C$634*0.015,1)</f>
        <v>1</v>
      </c>
      <c r="D642" s="307" t="s">
        <v>8</v>
      </c>
      <c r="E642" s="306">
        <f>F36</f>
        <v>1977</v>
      </c>
      <c r="F642" s="335">
        <f t="shared" si="17"/>
        <v>1977</v>
      </c>
      <c r="G642" s="303"/>
      <c r="H642" s="722"/>
      <c r="I642" s="295"/>
      <c r="J642" s="369"/>
    </row>
    <row r="643" spans="1:11" s="297" customFormat="1" ht="12.95" hidden="1" customHeight="1" x14ac:dyDescent="0.2">
      <c r="A643" s="717"/>
      <c r="B643" s="721" t="s">
        <v>862</v>
      </c>
      <c r="C643" s="306">
        <f>ROUND($C$634*0.015,1)</f>
        <v>1</v>
      </c>
      <c r="D643" s="307" t="s">
        <v>8</v>
      </c>
      <c r="E643" s="306">
        <v>5176.5</v>
      </c>
      <c r="F643" s="335">
        <f t="shared" si="17"/>
        <v>5176.5</v>
      </c>
      <c r="G643" s="303"/>
      <c r="H643" s="722">
        <v>5075</v>
      </c>
      <c r="I643" s="295">
        <f>H643*0.015</f>
        <v>76.125</v>
      </c>
      <c r="J643" s="260">
        <f>I643*68</f>
        <v>5176.5</v>
      </c>
    </row>
    <row r="644" spans="1:11" s="297" customFormat="1" ht="12.95" hidden="1" customHeight="1" thickBot="1" x14ac:dyDescent="0.25">
      <c r="A644" s="717"/>
      <c r="B644" s="311"/>
      <c r="C644" s="312"/>
      <c r="D644" s="313"/>
      <c r="E644" s="236" t="s">
        <v>530</v>
      </c>
      <c r="F644" s="723">
        <f>SUM(F636:F643)</f>
        <v>26519.5</v>
      </c>
      <c r="G644" s="303"/>
      <c r="H644" s="303"/>
      <c r="I644" s="295"/>
      <c r="J644" s="369"/>
    </row>
    <row r="645" spans="1:11" s="297" customFormat="1" ht="12.95" customHeight="1" x14ac:dyDescent="0.2">
      <c r="C645" s="292"/>
      <c r="D645" s="293"/>
      <c r="E645" s="332" t="s">
        <v>41</v>
      </c>
      <c r="F645" s="333">
        <f>ROUND(F644/C634,2)</f>
        <v>389.99</v>
      </c>
      <c r="G645" s="303"/>
      <c r="H645" s="303"/>
      <c r="I645" s="295"/>
      <c r="J645" s="369"/>
    </row>
    <row r="646" spans="1:11" s="297" customFormat="1" ht="12.95" customHeight="1" x14ac:dyDescent="0.2">
      <c r="C646" s="292"/>
      <c r="D646" s="293"/>
      <c r="E646" s="626" t="s">
        <v>124</v>
      </c>
      <c r="F646" s="317">
        <f>ROUND(F644/C635,2)</f>
        <v>132.6</v>
      </c>
      <c r="G646" s="303"/>
      <c r="H646" s="303"/>
      <c r="I646" s="295"/>
      <c r="J646" s="369"/>
    </row>
    <row r="647" spans="1:11" s="130" customFormat="1" ht="13.5" hidden="1" customHeight="1" x14ac:dyDescent="0.25">
      <c r="A647" s="724"/>
      <c r="B647" s="1722" t="s">
        <v>863</v>
      </c>
      <c r="C647" s="1722"/>
      <c r="D647" s="1722"/>
      <c r="E647" s="1722"/>
      <c r="F647" s="1722"/>
      <c r="G647" s="260"/>
      <c r="H647" s="260"/>
      <c r="I647" s="260"/>
      <c r="J647" s="369"/>
    </row>
    <row r="648" spans="1:11" s="130" customFormat="1" ht="5.0999999999999996" hidden="1" customHeight="1" x14ac:dyDescent="0.2">
      <c r="B648" s="725"/>
      <c r="C648" s="726"/>
      <c r="D648" s="726"/>
      <c r="E648" s="726"/>
      <c r="F648" s="726"/>
      <c r="G648" s="260"/>
      <c r="H648" s="260"/>
      <c r="I648" s="260"/>
      <c r="J648" s="369"/>
    </row>
    <row r="649" spans="1:11" s="130" customFormat="1" ht="12.75" hidden="1" customHeight="1" x14ac:dyDescent="0.2">
      <c r="B649" s="727" t="s">
        <v>864</v>
      </c>
      <c r="C649" s="726"/>
      <c r="D649" s="726"/>
      <c r="E649" s="728"/>
      <c r="F649" s="729"/>
      <c r="G649" s="260"/>
      <c r="H649" s="260"/>
      <c r="I649" s="260"/>
      <c r="J649" s="369"/>
    </row>
    <row r="650" spans="1:11" s="130" customFormat="1" ht="12.75" hidden="1" customHeight="1" x14ac:dyDescent="0.2">
      <c r="B650" s="730" t="s">
        <v>865</v>
      </c>
      <c r="C650" s="726"/>
      <c r="D650" s="726"/>
      <c r="E650" s="728"/>
      <c r="F650" s="729"/>
      <c r="G650" s="260"/>
      <c r="H650" s="260"/>
      <c r="I650" s="260"/>
      <c r="J650" s="369"/>
    </row>
    <row r="651" spans="1:11" s="130" customFormat="1" ht="12.75" hidden="1" customHeight="1" thickBot="1" x14ac:dyDescent="0.25">
      <c r="B651" s="731" t="s">
        <v>866</v>
      </c>
      <c r="C651" s="732">
        <v>80</v>
      </c>
      <c r="D651" s="733" t="s">
        <v>867</v>
      </c>
      <c r="E651" s="734"/>
      <c r="F651" s="729"/>
      <c r="G651" s="260"/>
      <c r="H651" s="260"/>
      <c r="I651" s="260"/>
      <c r="J651" s="369"/>
    </row>
    <row r="652" spans="1:11" s="130" customFormat="1" ht="12.75" hidden="1" customHeight="1" thickTop="1" x14ac:dyDescent="0.2">
      <c r="A652" s="134"/>
      <c r="B652" s="735" t="s">
        <v>868</v>
      </c>
      <c r="C652" s="736">
        <v>1</v>
      </c>
      <c r="D652" s="249" t="s">
        <v>374</v>
      </c>
      <c r="E652" s="736">
        <v>1250.8</v>
      </c>
      <c r="F652" s="334">
        <f>ROUND(C652*E652,2)</f>
        <v>1250.8</v>
      </c>
      <c r="G652" s="260"/>
      <c r="H652" s="260"/>
      <c r="I652" s="260"/>
      <c r="J652" s="369"/>
    </row>
    <row r="653" spans="1:11" s="130" customFormat="1" ht="12.75" hidden="1" customHeight="1" x14ac:dyDescent="0.2">
      <c r="A653" s="126"/>
      <c r="B653" s="737" t="s">
        <v>869</v>
      </c>
      <c r="C653" s="427">
        <f>ROUND(C651*0.04,2)</f>
        <v>3.2</v>
      </c>
      <c r="D653" s="250" t="s">
        <v>870</v>
      </c>
      <c r="E653" s="427">
        <f>F32*F35</f>
        <v>153.30149999999998</v>
      </c>
      <c r="F653" s="335">
        <f>ROUND(C653*E653,2)</f>
        <v>490.56</v>
      </c>
      <c r="G653" s="260"/>
      <c r="H653" s="260"/>
      <c r="I653" s="260"/>
      <c r="J653" s="369">
        <v>0.04</v>
      </c>
    </row>
    <row r="654" spans="1:11" s="130" customFormat="1" ht="12.75" hidden="1" customHeight="1" x14ac:dyDescent="0.2">
      <c r="A654" s="126"/>
      <c r="B654" s="737" t="s">
        <v>871</v>
      </c>
      <c r="C654" s="427">
        <v>20</v>
      </c>
      <c r="D654" s="250" t="s">
        <v>234</v>
      </c>
      <c r="E654" s="427">
        <f>F653</f>
        <v>490.56</v>
      </c>
      <c r="F654" s="335">
        <f>ROUND(C654*E654,2)/100</f>
        <v>98.112000000000009</v>
      </c>
      <c r="G654" s="260"/>
      <c r="H654" s="260">
        <v>1300</v>
      </c>
      <c r="I654" s="260"/>
      <c r="J654" s="369">
        <v>80</v>
      </c>
    </row>
    <row r="655" spans="1:11" s="130" customFormat="1" ht="12.75" hidden="1" customHeight="1" x14ac:dyDescent="0.2">
      <c r="A655" s="126"/>
      <c r="B655" s="738" t="str">
        <f>B38&amp;" RD$"&amp;"/DIA"</f>
        <v>OPERARIO 2º @ 1,255.00 RD$/DIA</v>
      </c>
      <c r="C655" s="427">
        <v>1</v>
      </c>
      <c r="D655" s="250" t="s">
        <v>374</v>
      </c>
      <c r="E655" s="427">
        <f>E38/8</f>
        <v>156.875</v>
      </c>
      <c r="F655" s="335">
        <f>ROUND(C655*E655,2)</f>
        <v>156.88</v>
      </c>
      <c r="G655" s="260"/>
      <c r="H655" s="260">
        <f>H654/8</f>
        <v>162.5</v>
      </c>
      <c r="I655" s="260"/>
      <c r="J655" s="369">
        <f>J654*J653</f>
        <v>3.2</v>
      </c>
      <c r="K655" s="726"/>
    </row>
    <row r="656" spans="1:11" s="130" customFormat="1" ht="12.75" hidden="1" customHeight="1" thickBot="1" x14ac:dyDescent="0.25">
      <c r="A656" s="142"/>
      <c r="B656" s="739"/>
      <c r="C656" s="740"/>
      <c r="D656" s="739"/>
      <c r="E656" s="741" t="s">
        <v>872</v>
      </c>
      <c r="F656" s="742">
        <f>SUM(F652:F655)</f>
        <v>1996.3519999999999</v>
      </c>
      <c r="G656" s="260"/>
      <c r="H656" s="260"/>
      <c r="I656" s="260"/>
      <c r="J656" s="369"/>
    </row>
    <row r="657" spans="1:11" s="130" customFormat="1" ht="12.75" hidden="1" customHeight="1" thickTop="1" x14ac:dyDescent="0.2">
      <c r="A657" s="598"/>
      <c r="B657" s="743" t="s">
        <v>873</v>
      </c>
      <c r="C657" s="744">
        <v>20.8</v>
      </c>
      <c r="D657" s="745" t="s">
        <v>435</v>
      </c>
      <c r="E657" s="746" t="s">
        <v>424</v>
      </c>
      <c r="F657" s="747">
        <f>F656/C657</f>
        <v>95.978461538461531</v>
      </c>
      <c r="G657" s="260"/>
      <c r="H657" s="260">
        <f>F657*1.78</f>
        <v>170.84166153846152</v>
      </c>
      <c r="I657" s="260"/>
      <c r="J657" s="369"/>
    </row>
    <row r="658" spans="1:11" s="130" customFormat="1" ht="12.75" hidden="1" customHeight="1" x14ac:dyDescent="0.2">
      <c r="A658" s="126"/>
      <c r="B658" s="748" t="s">
        <v>874</v>
      </c>
      <c r="C658" s="749">
        <v>16.7</v>
      </c>
      <c r="D658" s="250" t="s">
        <v>435</v>
      </c>
      <c r="E658" s="199" t="s">
        <v>424</v>
      </c>
      <c r="F658" s="750">
        <f>F656/C658</f>
        <v>119.5420359281437</v>
      </c>
      <c r="G658" s="260"/>
      <c r="H658" s="260"/>
      <c r="I658" s="260"/>
      <c r="J658" s="369"/>
    </row>
    <row r="659" spans="1:11" s="130" customFormat="1" ht="12.75" hidden="1" customHeight="1" x14ac:dyDescent="0.2">
      <c r="A659" s="126"/>
      <c r="B659" s="229" t="s">
        <v>875</v>
      </c>
      <c r="C659" s="749">
        <v>12.5</v>
      </c>
      <c r="D659" s="250" t="s">
        <v>435</v>
      </c>
      <c r="E659" s="199" t="s">
        <v>424</v>
      </c>
      <c r="F659" s="751">
        <f>F656/C659</f>
        <v>159.70815999999999</v>
      </c>
      <c r="G659" s="260"/>
      <c r="H659" s="260"/>
      <c r="I659" s="260"/>
      <c r="J659" s="369"/>
    </row>
    <row r="660" spans="1:11" s="130" customFormat="1" ht="12.75" hidden="1" customHeight="1" x14ac:dyDescent="0.2">
      <c r="A660" s="126"/>
      <c r="B660" s="229" t="s">
        <v>876</v>
      </c>
      <c r="C660" s="749">
        <v>14.15</v>
      </c>
      <c r="D660" s="250" t="s">
        <v>435</v>
      </c>
      <c r="E660" s="199" t="s">
        <v>424</v>
      </c>
      <c r="F660" s="751">
        <f>F656/C660</f>
        <v>141.08494699646641</v>
      </c>
      <c r="G660" s="260"/>
      <c r="H660" s="260"/>
      <c r="I660" s="260"/>
      <c r="J660" s="369"/>
    </row>
    <row r="661" spans="1:11" s="130" customFormat="1" ht="12.75" hidden="1" customHeight="1" x14ac:dyDescent="0.2">
      <c r="A661" s="126"/>
      <c r="B661" s="229" t="s">
        <v>877</v>
      </c>
      <c r="C661" s="749">
        <v>11.83</v>
      </c>
      <c r="D661" s="250" t="s">
        <v>435</v>
      </c>
      <c r="E661" s="199" t="s">
        <v>424</v>
      </c>
      <c r="F661" s="751">
        <f>F656/C661</f>
        <v>168.75333896872357</v>
      </c>
      <c r="G661" s="260"/>
      <c r="H661" s="260"/>
      <c r="I661" s="260"/>
      <c r="J661" s="369"/>
      <c r="K661" s="260"/>
    </row>
    <row r="662" spans="1:11" s="130" customFormat="1" ht="12.75" hidden="1" customHeight="1" x14ac:dyDescent="0.2">
      <c r="A662" s="126"/>
      <c r="B662" s="229" t="s">
        <v>878</v>
      </c>
      <c r="C662" s="749">
        <v>45.2</v>
      </c>
      <c r="D662" s="250" t="s">
        <v>435</v>
      </c>
      <c r="E662" s="199" t="s">
        <v>424</v>
      </c>
      <c r="F662" s="752">
        <f>F656/C662</f>
        <v>44.16707964601769</v>
      </c>
      <c r="G662" s="260"/>
      <c r="H662" s="260"/>
      <c r="I662" s="260"/>
      <c r="J662" s="369"/>
      <c r="K662" s="260"/>
    </row>
    <row r="663" spans="1:11" s="130" customFormat="1" ht="12.75" hidden="1" customHeight="1" x14ac:dyDescent="0.2">
      <c r="A663" s="414"/>
      <c r="B663" s="753" t="s">
        <v>879</v>
      </c>
      <c r="C663" s="754">
        <v>67.81</v>
      </c>
      <c r="D663" s="755" t="s">
        <v>880</v>
      </c>
      <c r="E663" s="593" t="s">
        <v>751</v>
      </c>
      <c r="F663" s="756">
        <f>F656/C663</f>
        <v>29.440377525438723</v>
      </c>
      <c r="G663" s="260"/>
      <c r="H663" s="260"/>
      <c r="I663" s="260"/>
      <c r="J663" s="369"/>
    </row>
    <row r="664" spans="1:11" s="130" customFormat="1" ht="12.75" hidden="1" customHeight="1" thickBot="1" x14ac:dyDescent="0.25">
      <c r="A664" s="142"/>
      <c r="B664" s="757" t="s">
        <v>881</v>
      </c>
      <c r="C664" s="739">
        <v>38.94</v>
      </c>
      <c r="D664" s="188" t="s">
        <v>435</v>
      </c>
      <c r="E664" s="236" t="s">
        <v>424</v>
      </c>
      <c r="F664" s="758">
        <f>F656/C664</f>
        <v>51.267385721623008</v>
      </c>
      <c r="G664" s="260"/>
      <c r="H664" s="260"/>
      <c r="I664" s="260"/>
      <c r="J664" s="369"/>
    </row>
    <row r="665" spans="1:11" s="130" customFormat="1" ht="12.75" hidden="1" customHeight="1" thickTop="1" x14ac:dyDescent="0.2">
      <c r="B665" s="731"/>
      <c r="C665" s="726"/>
      <c r="D665" s="726"/>
      <c r="E665" s="728"/>
      <c r="F665" s="729"/>
      <c r="G665" s="260"/>
      <c r="H665" s="260"/>
      <c r="I665" s="260"/>
      <c r="J665" s="369"/>
    </row>
    <row r="666" spans="1:11" s="130" customFormat="1" ht="12.75" hidden="1" customHeight="1" thickBot="1" x14ac:dyDescent="0.25">
      <c r="B666" s="731" t="s">
        <v>882</v>
      </c>
      <c r="C666" s="732">
        <v>78</v>
      </c>
      <c r="D666" s="733" t="s">
        <v>867</v>
      </c>
      <c r="E666" s="734"/>
      <c r="F666" s="729"/>
      <c r="G666" s="260"/>
      <c r="H666" s="260"/>
      <c r="I666" s="260"/>
      <c r="J666" s="369"/>
    </row>
    <row r="667" spans="1:11" s="130" customFormat="1" ht="12.75" hidden="1" customHeight="1" thickTop="1" x14ac:dyDescent="0.2">
      <c r="A667" s="134"/>
      <c r="B667" s="735" t="s">
        <v>868</v>
      </c>
      <c r="C667" s="736">
        <v>1</v>
      </c>
      <c r="D667" s="249" t="s">
        <v>374</v>
      </c>
      <c r="E667" s="759">
        <v>1250.8</v>
      </c>
      <c r="F667" s="334">
        <f>ROUND(C667*E667,2)</f>
        <v>1250.8</v>
      </c>
      <c r="G667" s="260"/>
      <c r="H667" s="260"/>
      <c r="I667" s="260"/>
      <c r="J667" s="369"/>
    </row>
    <row r="668" spans="1:11" s="130" customFormat="1" ht="12.75" hidden="1" customHeight="1" x14ac:dyDescent="0.2">
      <c r="A668" s="126"/>
      <c r="B668" s="737" t="s">
        <v>869</v>
      </c>
      <c r="C668" s="427">
        <f>ROUND(C666*0.04,2)</f>
        <v>3.12</v>
      </c>
      <c r="D668" s="250" t="s">
        <v>870</v>
      </c>
      <c r="E668" s="427">
        <f>F32*F35</f>
        <v>153.30149999999998</v>
      </c>
      <c r="F668" s="335">
        <f>ROUND(C668*E668,2)</f>
        <v>478.3</v>
      </c>
      <c r="G668" s="260"/>
      <c r="H668" s="260"/>
      <c r="I668" s="260"/>
      <c r="J668" s="369"/>
    </row>
    <row r="669" spans="1:11" s="130" customFormat="1" ht="12.75" hidden="1" customHeight="1" x14ac:dyDescent="0.2">
      <c r="A669" s="126"/>
      <c r="B669" s="737" t="s">
        <v>871</v>
      </c>
      <c r="C669" s="427">
        <v>20</v>
      </c>
      <c r="D669" s="250" t="s">
        <v>234</v>
      </c>
      <c r="E669" s="427">
        <f>F668</f>
        <v>478.3</v>
      </c>
      <c r="F669" s="335">
        <f>ROUND(C669*E669,2)/100</f>
        <v>95.66</v>
      </c>
      <c r="G669" s="260"/>
      <c r="H669" s="260"/>
      <c r="I669" s="260"/>
      <c r="J669" s="369"/>
    </row>
    <row r="670" spans="1:11" s="130" customFormat="1" ht="12.75" hidden="1" customHeight="1" x14ac:dyDescent="0.2">
      <c r="A670" s="126"/>
      <c r="B670" s="738" t="str">
        <f>B38&amp;" RD$"&amp;"/DIA"</f>
        <v>OPERARIO 2º @ 1,255.00 RD$/DIA</v>
      </c>
      <c r="C670" s="427">
        <v>1</v>
      </c>
      <c r="D670" s="250" t="s">
        <v>374</v>
      </c>
      <c r="E670" s="427">
        <f>E38/8</f>
        <v>156.875</v>
      </c>
      <c r="F670" s="335">
        <f>ROUND(C670*E670,2)</f>
        <v>156.88</v>
      </c>
      <c r="G670" s="260"/>
      <c r="H670" s="260"/>
      <c r="I670" s="260"/>
      <c r="J670" s="369"/>
    </row>
    <row r="671" spans="1:11" s="130" customFormat="1" ht="12.75" hidden="1" customHeight="1" thickBot="1" x14ac:dyDescent="0.25">
      <c r="A671" s="142"/>
      <c r="B671" s="739"/>
      <c r="C671" s="740"/>
      <c r="D671" s="739"/>
      <c r="E671" s="741" t="s">
        <v>872</v>
      </c>
      <c r="F671" s="742">
        <f>SUM(F667:F670)</f>
        <v>1981.6399999999999</v>
      </c>
      <c r="G671" s="260"/>
      <c r="H671" s="260"/>
      <c r="I671" s="260"/>
      <c r="J671" s="369"/>
    </row>
    <row r="672" spans="1:11" s="130" customFormat="1" ht="12.75" hidden="1" customHeight="1" thickTop="1" x14ac:dyDescent="0.2">
      <c r="B672" s="731"/>
      <c r="C672" s="726"/>
      <c r="D672" s="726"/>
      <c r="E672" s="728"/>
      <c r="F672" s="729"/>
      <c r="G672" s="260"/>
      <c r="H672" s="260"/>
      <c r="I672" s="260"/>
      <c r="J672" s="369"/>
    </row>
    <row r="673" spans="1:10" s="130" customFormat="1" ht="12.75" hidden="1" customHeight="1" thickBot="1" x14ac:dyDescent="0.25">
      <c r="B673" s="731" t="s">
        <v>883</v>
      </c>
      <c r="C673" s="732">
        <v>88</v>
      </c>
      <c r="D673" s="733" t="s">
        <v>867</v>
      </c>
      <c r="E673" s="734"/>
      <c r="F673" s="729"/>
      <c r="G673" s="260"/>
      <c r="H673" s="260"/>
      <c r="I673" s="260"/>
      <c r="J673" s="369"/>
    </row>
    <row r="674" spans="1:10" s="130" customFormat="1" ht="12.75" hidden="1" customHeight="1" thickTop="1" x14ac:dyDescent="0.2">
      <c r="A674" s="134"/>
      <c r="B674" s="735" t="s">
        <v>868</v>
      </c>
      <c r="C674" s="736">
        <v>1</v>
      </c>
      <c r="D674" s="249" t="s">
        <v>374</v>
      </c>
      <c r="E674" s="759">
        <v>1250.8</v>
      </c>
      <c r="F674" s="334">
        <f>ROUND(C674*E674,2)</f>
        <v>1250.8</v>
      </c>
      <c r="G674" s="260"/>
      <c r="H674" s="260"/>
      <c r="I674" s="260"/>
      <c r="J674" s="369"/>
    </row>
    <row r="675" spans="1:10" s="130" customFormat="1" ht="12.75" hidden="1" customHeight="1" x14ac:dyDescent="0.2">
      <c r="A675" s="126"/>
      <c r="B675" s="737" t="s">
        <v>869</v>
      </c>
      <c r="C675" s="427">
        <f>ROUND(C673*0.04,2)</f>
        <v>3.52</v>
      </c>
      <c r="D675" s="250" t="s">
        <v>870</v>
      </c>
      <c r="E675" s="427">
        <f>F32*F35</f>
        <v>153.30149999999998</v>
      </c>
      <c r="F675" s="335">
        <f>ROUND(C675*E675,2)</f>
        <v>539.62</v>
      </c>
      <c r="G675" s="260"/>
      <c r="H675" s="260"/>
      <c r="I675" s="260"/>
      <c r="J675" s="369"/>
    </row>
    <row r="676" spans="1:10" s="130" customFormat="1" ht="12.75" hidden="1" customHeight="1" x14ac:dyDescent="0.2">
      <c r="A676" s="126"/>
      <c r="B676" s="737" t="s">
        <v>871</v>
      </c>
      <c r="C676" s="427">
        <v>20</v>
      </c>
      <c r="D676" s="250" t="s">
        <v>234</v>
      </c>
      <c r="E676" s="427">
        <f>F675</f>
        <v>539.62</v>
      </c>
      <c r="F676" s="335">
        <f>ROUND(C676*E676,2)/100</f>
        <v>107.92399999999999</v>
      </c>
      <c r="G676" s="260"/>
      <c r="H676" s="260"/>
      <c r="I676" s="260"/>
      <c r="J676" s="369"/>
    </row>
    <row r="677" spans="1:10" s="130" customFormat="1" ht="12.75" hidden="1" customHeight="1" x14ac:dyDescent="0.2">
      <c r="A677" s="126"/>
      <c r="B677" s="738" t="str">
        <f>B38&amp;" RD$"&amp;"/DIA"</f>
        <v>OPERARIO 2º @ 1,255.00 RD$/DIA</v>
      </c>
      <c r="C677" s="427">
        <v>1</v>
      </c>
      <c r="D677" s="250" t="s">
        <v>374</v>
      </c>
      <c r="E677" s="427">
        <f>E38/8</f>
        <v>156.875</v>
      </c>
      <c r="F677" s="335">
        <f>ROUND(C677*E677,2)</f>
        <v>156.88</v>
      </c>
      <c r="G677" s="260"/>
      <c r="H677" s="260"/>
      <c r="I677" s="260"/>
      <c r="J677" s="369"/>
    </row>
    <row r="678" spans="1:10" s="130" customFormat="1" ht="12.75" hidden="1" customHeight="1" thickBot="1" x14ac:dyDescent="0.25">
      <c r="A678" s="142"/>
      <c r="B678" s="739"/>
      <c r="C678" s="740"/>
      <c r="D678" s="739"/>
      <c r="E678" s="741" t="s">
        <v>872</v>
      </c>
      <c r="F678" s="742">
        <f>SUM(F674:F677)</f>
        <v>2055.2240000000002</v>
      </c>
      <c r="G678" s="260"/>
      <c r="H678" s="260"/>
      <c r="I678" s="260"/>
      <c r="J678" s="369"/>
    </row>
    <row r="679" spans="1:10" s="130" customFormat="1" ht="12.75" hidden="1" customHeight="1" thickTop="1" x14ac:dyDescent="0.2">
      <c r="B679" s="731"/>
      <c r="C679" s="726"/>
      <c r="D679" s="726"/>
      <c r="E679" s="728"/>
      <c r="F679" s="729"/>
      <c r="G679" s="260"/>
      <c r="H679" s="260"/>
      <c r="I679" s="260"/>
      <c r="J679" s="369"/>
    </row>
    <row r="680" spans="1:10" s="130" customFormat="1" ht="12.75" hidden="1" customHeight="1" thickBot="1" x14ac:dyDescent="0.25">
      <c r="B680" s="731" t="s">
        <v>884</v>
      </c>
      <c r="C680" s="732">
        <v>100</v>
      </c>
      <c r="D680" s="733" t="s">
        <v>867</v>
      </c>
      <c r="E680" s="734"/>
      <c r="F680" s="729"/>
      <c r="G680" s="260"/>
      <c r="H680" s="260"/>
      <c r="I680" s="260"/>
      <c r="J680" s="369"/>
    </row>
    <row r="681" spans="1:10" s="130" customFormat="1" ht="12.75" hidden="1" customHeight="1" thickTop="1" x14ac:dyDescent="0.2">
      <c r="A681" s="134"/>
      <c r="B681" s="735" t="s">
        <v>868</v>
      </c>
      <c r="C681" s="736">
        <v>1</v>
      </c>
      <c r="D681" s="249" t="s">
        <v>374</v>
      </c>
      <c r="E681" s="759">
        <v>1250.8</v>
      </c>
      <c r="F681" s="334">
        <f>ROUND(C681*E681,2)</f>
        <v>1250.8</v>
      </c>
      <c r="G681" s="260"/>
      <c r="H681" s="260"/>
      <c r="I681" s="260"/>
      <c r="J681" s="369"/>
    </row>
    <row r="682" spans="1:10" s="130" customFormat="1" ht="12.75" hidden="1" customHeight="1" x14ac:dyDescent="0.2">
      <c r="A682" s="126"/>
      <c r="B682" s="737" t="s">
        <v>869</v>
      </c>
      <c r="C682" s="427">
        <f>ROUND(C680*0.04,2)</f>
        <v>4</v>
      </c>
      <c r="D682" s="250" t="s">
        <v>870</v>
      </c>
      <c r="E682" s="427">
        <f>F32*F35</f>
        <v>153.30149999999998</v>
      </c>
      <c r="F682" s="335">
        <f>ROUND(C682*E682,2)</f>
        <v>613.21</v>
      </c>
      <c r="G682" s="260"/>
      <c r="H682" s="260"/>
      <c r="I682" s="260"/>
      <c r="J682" s="369"/>
    </row>
    <row r="683" spans="1:10" s="130" customFormat="1" ht="12.75" hidden="1" customHeight="1" x14ac:dyDescent="0.2">
      <c r="A683" s="126"/>
      <c r="B683" s="737" t="s">
        <v>871</v>
      </c>
      <c r="C683" s="427">
        <v>20</v>
      </c>
      <c r="D683" s="250" t="s">
        <v>234</v>
      </c>
      <c r="E683" s="427">
        <f>F682</f>
        <v>613.21</v>
      </c>
      <c r="F683" s="335">
        <f>ROUND(C683*E683,2)/100</f>
        <v>122.64200000000001</v>
      </c>
      <c r="G683" s="260"/>
      <c r="H683" s="260"/>
      <c r="I683" s="260"/>
      <c r="J683" s="369"/>
    </row>
    <row r="684" spans="1:10" s="130" customFormat="1" ht="12.75" hidden="1" customHeight="1" x14ac:dyDescent="0.2">
      <c r="A684" s="126"/>
      <c r="B684" s="738" t="str">
        <f>B38&amp;" RD$"&amp;"/DIA"</f>
        <v>OPERARIO 2º @ 1,255.00 RD$/DIA</v>
      </c>
      <c r="C684" s="427">
        <v>1</v>
      </c>
      <c r="D684" s="250" t="s">
        <v>374</v>
      </c>
      <c r="E684" s="427">
        <f>E38/8</f>
        <v>156.875</v>
      </c>
      <c r="F684" s="335">
        <f>ROUND(C684*E684,2)</f>
        <v>156.88</v>
      </c>
      <c r="G684" s="260"/>
      <c r="H684" s="260"/>
      <c r="I684" s="260"/>
      <c r="J684" s="369"/>
    </row>
    <row r="685" spans="1:10" s="130" customFormat="1" ht="12.75" hidden="1" customHeight="1" thickBot="1" x14ac:dyDescent="0.25">
      <c r="A685" s="142"/>
      <c r="B685" s="739"/>
      <c r="C685" s="740"/>
      <c r="D685" s="739"/>
      <c r="E685" s="741" t="s">
        <v>872</v>
      </c>
      <c r="F685" s="742">
        <f>SUM(F681:F684)</f>
        <v>2143.5320000000002</v>
      </c>
      <c r="G685" s="260"/>
      <c r="H685" s="260"/>
      <c r="I685" s="260"/>
      <c r="J685" s="369"/>
    </row>
    <row r="686" spans="1:10" s="130" customFormat="1" ht="12.75" hidden="1" customHeight="1" thickTop="1" x14ac:dyDescent="0.2">
      <c r="B686" s="731"/>
      <c r="C686" s="726"/>
      <c r="D686" s="726"/>
      <c r="E686" s="728"/>
      <c r="F686" s="729"/>
      <c r="G686" s="260"/>
      <c r="H686" s="260"/>
      <c r="I686" s="260"/>
      <c r="J686" s="369"/>
    </row>
    <row r="687" spans="1:10" s="130" customFormat="1" ht="12.75" hidden="1" customHeight="1" thickBot="1" x14ac:dyDescent="0.25">
      <c r="B687" s="731" t="s">
        <v>885</v>
      </c>
      <c r="C687" s="732">
        <v>85</v>
      </c>
      <c r="D687" s="733" t="s">
        <v>867</v>
      </c>
      <c r="E687" s="734"/>
      <c r="F687" s="729"/>
      <c r="G687" s="260"/>
      <c r="H687" s="260"/>
      <c r="I687" s="260"/>
      <c r="J687" s="369"/>
    </row>
    <row r="688" spans="1:10" s="130" customFormat="1" ht="12.75" hidden="1" customHeight="1" thickTop="1" x14ac:dyDescent="0.2">
      <c r="A688" s="134"/>
      <c r="B688" s="735" t="s">
        <v>868</v>
      </c>
      <c r="C688" s="736">
        <v>1</v>
      </c>
      <c r="D688" s="249" t="s">
        <v>374</v>
      </c>
      <c r="E688" s="759">
        <v>1250.8</v>
      </c>
      <c r="F688" s="334">
        <f>ROUND(C688*E688,2)</f>
        <v>1250.8</v>
      </c>
      <c r="G688" s="260"/>
      <c r="H688" s="260"/>
      <c r="I688" s="260"/>
      <c r="J688" s="369"/>
    </row>
    <row r="689" spans="1:10" s="130" customFormat="1" ht="12.75" hidden="1" customHeight="1" x14ac:dyDescent="0.2">
      <c r="A689" s="126"/>
      <c r="B689" s="737" t="s">
        <v>869</v>
      </c>
      <c r="C689" s="427">
        <f>ROUND(C687*0.04,2)</f>
        <v>3.4</v>
      </c>
      <c r="D689" s="250" t="s">
        <v>870</v>
      </c>
      <c r="E689" s="427">
        <f>F32*F35</f>
        <v>153.30149999999998</v>
      </c>
      <c r="F689" s="335">
        <f>ROUND(C689*E689,2)</f>
        <v>521.23</v>
      </c>
      <c r="G689" s="260"/>
      <c r="H689" s="260"/>
      <c r="I689" s="260"/>
      <c r="J689" s="369"/>
    </row>
    <row r="690" spans="1:10" s="130" customFormat="1" ht="12.75" hidden="1" customHeight="1" x14ac:dyDescent="0.2">
      <c r="A690" s="126"/>
      <c r="B690" s="737" t="s">
        <v>871</v>
      </c>
      <c r="C690" s="427">
        <v>20</v>
      </c>
      <c r="D690" s="250" t="s">
        <v>234</v>
      </c>
      <c r="E690" s="427">
        <f>F689</f>
        <v>521.23</v>
      </c>
      <c r="F690" s="335">
        <f>ROUND(C690*E690,2)/100</f>
        <v>104.24600000000001</v>
      </c>
      <c r="G690" s="260"/>
      <c r="H690" s="260"/>
      <c r="I690" s="260"/>
      <c r="J690" s="369"/>
    </row>
    <row r="691" spans="1:10" s="130" customFormat="1" ht="12.75" hidden="1" customHeight="1" x14ac:dyDescent="0.2">
      <c r="A691" s="126"/>
      <c r="B691" s="738" t="str">
        <f>B38&amp;" RD$"&amp;"/DIA"</f>
        <v>OPERARIO 2º @ 1,255.00 RD$/DIA</v>
      </c>
      <c r="C691" s="427">
        <v>1</v>
      </c>
      <c r="D691" s="250" t="s">
        <v>374</v>
      </c>
      <c r="E691" s="427">
        <f>E38/8</f>
        <v>156.875</v>
      </c>
      <c r="F691" s="335">
        <f>ROUND(C691*E691,2)</f>
        <v>156.88</v>
      </c>
      <c r="G691" s="260"/>
      <c r="H691" s="260"/>
      <c r="I691" s="260"/>
      <c r="J691" s="369"/>
    </row>
    <row r="692" spans="1:10" s="130" customFormat="1" ht="12.75" hidden="1" customHeight="1" thickBot="1" x14ac:dyDescent="0.25">
      <c r="A692" s="142"/>
      <c r="B692" s="739"/>
      <c r="C692" s="740"/>
      <c r="D692" s="739"/>
      <c r="E692" s="741" t="s">
        <v>872</v>
      </c>
      <c r="F692" s="742">
        <f>SUM(F688:F691)</f>
        <v>2033.1559999999999</v>
      </c>
      <c r="G692" s="260"/>
      <c r="H692" s="260"/>
      <c r="I692" s="260"/>
      <c r="J692" s="369"/>
    </row>
    <row r="693" spans="1:10" s="130" customFormat="1" ht="12.75" hidden="1" customHeight="1" thickTop="1" x14ac:dyDescent="0.2">
      <c r="B693" s="731"/>
      <c r="C693" s="726"/>
      <c r="D693" s="726"/>
      <c r="E693" s="728"/>
      <c r="F693" s="729"/>
      <c r="G693" s="260"/>
      <c r="H693" s="260"/>
      <c r="I693" s="260"/>
      <c r="J693" s="369"/>
    </row>
    <row r="694" spans="1:10" s="130" customFormat="1" ht="12.75" hidden="1" customHeight="1" thickBot="1" x14ac:dyDescent="0.25">
      <c r="B694" s="731" t="s">
        <v>886</v>
      </c>
      <c r="C694" s="732">
        <v>88</v>
      </c>
      <c r="D694" s="733" t="s">
        <v>867</v>
      </c>
      <c r="E694" s="734"/>
      <c r="F694" s="729"/>
      <c r="G694" s="260"/>
      <c r="H694" s="260"/>
      <c r="I694" s="260"/>
      <c r="J694" s="369"/>
    </row>
    <row r="695" spans="1:10" s="130" customFormat="1" ht="12.75" hidden="1" customHeight="1" thickTop="1" x14ac:dyDescent="0.2">
      <c r="A695" s="134"/>
      <c r="B695" s="735" t="s">
        <v>868</v>
      </c>
      <c r="C695" s="736">
        <v>1</v>
      </c>
      <c r="D695" s="249" t="s">
        <v>374</v>
      </c>
      <c r="E695" s="759">
        <v>1250.8</v>
      </c>
      <c r="F695" s="334">
        <f>ROUND(C695*E695,2)</f>
        <v>1250.8</v>
      </c>
      <c r="G695" s="260"/>
      <c r="H695" s="260"/>
      <c r="I695" s="260"/>
      <c r="J695" s="369"/>
    </row>
    <row r="696" spans="1:10" s="130" customFormat="1" ht="12.75" hidden="1" customHeight="1" x14ac:dyDescent="0.2">
      <c r="A696" s="126"/>
      <c r="B696" s="737" t="s">
        <v>869</v>
      </c>
      <c r="C696" s="427">
        <f>ROUND(C694*0.04,2)</f>
        <v>3.52</v>
      </c>
      <c r="D696" s="250" t="s">
        <v>870</v>
      </c>
      <c r="E696" s="427">
        <f>F32*F35</f>
        <v>153.30149999999998</v>
      </c>
      <c r="F696" s="335">
        <f>ROUND(C696*E696,2)</f>
        <v>539.62</v>
      </c>
      <c r="G696" s="260"/>
      <c r="H696" s="260"/>
      <c r="I696" s="260"/>
      <c r="J696" s="369"/>
    </row>
    <row r="697" spans="1:10" s="130" customFormat="1" ht="12.75" hidden="1" customHeight="1" x14ac:dyDescent="0.2">
      <c r="A697" s="126"/>
      <c r="B697" s="737" t="s">
        <v>871</v>
      </c>
      <c r="C697" s="427">
        <v>20</v>
      </c>
      <c r="D697" s="250" t="s">
        <v>234</v>
      </c>
      <c r="E697" s="427">
        <f>F696</f>
        <v>539.62</v>
      </c>
      <c r="F697" s="335">
        <f>ROUND(C697*E697,2)/100</f>
        <v>107.92399999999999</v>
      </c>
      <c r="G697" s="260"/>
      <c r="H697" s="260"/>
      <c r="I697" s="260"/>
      <c r="J697" s="369"/>
    </row>
    <row r="698" spans="1:10" s="130" customFormat="1" ht="12.75" hidden="1" customHeight="1" x14ac:dyDescent="0.2">
      <c r="A698" s="126"/>
      <c r="B698" s="738" t="str">
        <f>B38&amp;" RD$"&amp;"/DIA"</f>
        <v>OPERARIO 2º @ 1,255.00 RD$/DIA</v>
      </c>
      <c r="C698" s="427">
        <v>1</v>
      </c>
      <c r="D698" s="250" t="s">
        <v>374</v>
      </c>
      <c r="E698" s="427">
        <f>E38/8</f>
        <v>156.875</v>
      </c>
      <c r="F698" s="335">
        <f>ROUND(C698*E698,2)</f>
        <v>156.88</v>
      </c>
      <c r="G698" s="260"/>
      <c r="H698" s="260"/>
      <c r="I698" s="260"/>
      <c r="J698" s="369"/>
    </row>
    <row r="699" spans="1:10" s="130" customFormat="1" ht="12.75" hidden="1" customHeight="1" thickBot="1" x14ac:dyDescent="0.25">
      <c r="A699" s="142"/>
      <c r="B699" s="739"/>
      <c r="C699" s="740"/>
      <c r="D699" s="739"/>
      <c r="E699" s="741" t="s">
        <v>872</v>
      </c>
      <c r="F699" s="742">
        <f>SUM(F695:F698)</f>
        <v>2055.2240000000002</v>
      </c>
      <c r="G699" s="260"/>
      <c r="H699" s="260"/>
      <c r="I699" s="260"/>
      <c r="J699" s="369"/>
    </row>
    <row r="700" spans="1:10" s="130" customFormat="1" ht="10.5" hidden="1" customHeight="1" thickTop="1" x14ac:dyDescent="0.2">
      <c r="B700" s="731"/>
      <c r="C700" s="726"/>
      <c r="D700" s="726"/>
      <c r="E700" s="728"/>
      <c r="F700" s="729"/>
      <c r="G700" s="260"/>
      <c r="H700" s="260"/>
      <c r="I700" s="260"/>
      <c r="J700" s="369"/>
    </row>
    <row r="701" spans="1:10" s="130" customFormat="1" ht="12.75" hidden="1" customHeight="1" thickBot="1" x14ac:dyDescent="0.25">
      <c r="B701" s="731" t="s">
        <v>887</v>
      </c>
      <c r="C701" s="732">
        <v>97</v>
      </c>
      <c r="D701" s="733" t="s">
        <v>867</v>
      </c>
      <c r="E701" s="734"/>
      <c r="F701" s="729"/>
      <c r="G701" s="260"/>
      <c r="H701" s="260"/>
      <c r="I701" s="260"/>
      <c r="J701" s="369"/>
    </row>
    <row r="702" spans="1:10" s="130" customFormat="1" ht="12.75" hidden="1" customHeight="1" thickTop="1" x14ac:dyDescent="0.2">
      <c r="A702" s="134"/>
      <c r="B702" s="735" t="s">
        <v>868</v>
      </c>
      <c r="C702" s="736">
        <v>1</v>
      </c>
      <c r="D702" s="249" t="s">
        <v>374</v>
      </c>
      <c r="E702" s="759">
        <v>1250.8</v>
      </c>
      <c r="F702" s="334">
        <f>ROUND(C702*E702,2)</f>
        <v>1250.8</v>
      </c>
      <c r="G702" s="260"/>
      <c r="H702" s="260"/>
      <c r="I702" s="260"/>
      <c r="J702" s="369"/>
    </row>
    <row r="703" spans="1:10" s="130" customFormat="1" ht="12.75" hidden="1" customHeight="1" x14ac:dyDescent="0.2">
      <c r="A703" s="126"/>
      <c r="B703" s="737" t="s">
        <v>869</v>
      </c>
      <c r="C703" s="427">
        <f>ROUND(C701*0.04,2)</f>
        <v>3.88</v>
      </c>
      <c r="D703" s="250" t="s">
        <v>870</v>
      </c>
      <c r="E703" s="427">
        <f>F32*F35</f>
        <v>153.30149999999998</v>
      </c>
      <c r="F703" s="335">
        <f>ROUND(C703*E703,2)</f>
        <v>594.80999999999995</v>
      </c>
      <c r="G703" s="260"/>
      <c r="H703" s="260"/>
      <c r="I703" s="260"/>
      <c r="J703" s="369"/>
    </row>
    <row r="704" spans="1:10" s="130" customFormat="1" ht="12.75" hidden="1" customHeight="1" x14ac:dyDescent="0.2">
      <c r="A704" s="126"/>
      <c r="B704" s="737" t="s">
        <v>871</v>
      </c>
      <c r="C704" s="427">
        <v>20</v>
      </c>
      <c r="D704" s="250" t="s">
        <v>234</v>
      </c>
      <c r="E704" s="427">
        <f>F703</f>
        <v>594.80999999999995</v>
      </c>
      <c r="F704" s="335">
        <f>ROUND(C704*E704,2)/100</f>
        <v>118.962</v>
      </c>
      <c r="G704" s="260"/>
      <c r="H704" s="260"/>
      <c r="I704" s="260"/>
      <c r="J704" s="369"/>
    </row>
    <row r="705" spans="1:10" s="130" customFormat="1" ht="12.75" hidden="1" customHeight="1" x14ac:dyDescent="0.2">
      <c r="A705" s="126"/>
      <c r="B705" s="738" t="str">
        <f>B38&amp;" RD$"&amp;"/DIA"</f>
        <v>OPERARIO 2º @ 1,255.00 RD$/DIA</v>
      </c>
      <c r="C705" s="427">
        <v>1</v>
      </c>
      <c r="D705" s="250" t="s">
        <v>374</v>
      </c>
      <c r="E705" s="427">
        <f>E38/8</f>
        <v>156.875</v>
      </c>
      <c r="F705" s="335">
        <f>ROUND(C705*E705,2)</f>
        <v>156.88</v>
      </c>
      <c r="G705" s="260"/>
      <c r="H705" s="260"/>
      <c r="I705" s="260"/>
      <c r="J705" s="369"/>
    </row>
    <row r="706" spans="1:10" s="130" customFormat="1" ht="12.75" hidden="1" customHeight="1" thickBot="1" x14ac:dyDescent="0.25">
      <c r="A706" s="142"/>
      <c r="B706" s="739"/>
      <c r="C706" s="740"/>
      <c r="D706" s="739"/>
      <c r="E706" s="741" t="s">
        <v>872</v>
      </c>
      <c r="F706" s="742">
        <f>SUM(F702:F705)</f>
        <v>2121.4519999999998</v>
      </c>
      <c r="G706" s="260"/>
      <c r="H706" s="260"/>
      <c r="I706" s="260"/>
      <c r="J706" s="369"/>
    </row>
    <row r="707" spans="1:10" s="130" customFormat="1" ht="9.75" hidden="1" customHeight="1" thickTop="1" x14ac:dyDescent="0.2">
      <c r="B707" s="731"/>
      <c r="C707" s="726"/>
      <c r="D707" s="726"/>
      <c r="E707" s="728"/>
      <c r="F707" s="729"/>
      <c r="G707" s="260"/>
      <c r="H707" s="260"/>
      <c r="I707" s="260"/>
      <c r="J707" s="369"/>
    </row>
    <row r="708" spans="1:10" s="130" customFormat="1" ht="12.75" hidden="1" customHeight="1" thickBot="1" x14ac:dyDescent="0.25">
      <c r="B708" s="731" t="s">
        <v>888</v>
      </c>
      <c r="C708" s="732">
        <v>83</v>
      </c>
      <c r="D708" s="733" t="s">
        <v>867</v>
      </c>
      <c r="E708" s="734"/>
      <c r="F708" s="729"/>
      <c r="G708" s="260"/>
      <c r="H708" s="260"/>
      <c r="I708" s="260"/>
      <c r="J708" s="369"/>
    </row>
    <row r="709" spans="1:10" s="130" customFormat="1" ht="12.75" hidden="1" customHeight="1" thickTop="1" x14ac:dyDescent="0.2">
      <c r="A709" s="134"/>
      <c r="B709" s="735" t="s">
        <v>868</v>
      </c>
      <c r="C709" s="736">
        <v>1</v>
      </c>
      <c r="D709" s="249" t="s">
        <v>374</v>
      </c>
      <c r="E709" s="759">
        <v>1250.8</v>
      </c>
      <c r="F709" s="334">
        <f>ROUND(C709*E709,2)</f>
        <v>1250.8</v>
      </c>
      <c r="G709" s="260"/>
      <c r="H709" s="260"/>
      <c r="I709" s="260"/>
      <c r="J709" s="369"/>
    </row>
    <row r="710" spans="1:10" s="130" customFormat="1" ht="12.75" hidden="1" customHeight="1" x14ac:dyDescent="0.2">
      <c r="A710" s="126"/>
      <c r="B710" s="737" t="s">
        <v>869</v>
      </c>
      <c r="C710" s="427">
        <f>ROUND(C708*0.04,2)</f>
        <v>3.32</v>
      </c>
      <c r="D710" s="250" t="s">
        <v>870</v>
      </c>
      <c r="E710" s="427">
        <f>F32*F35</f>
        <v>153.30149999999998</v>
      </c>
      <c r="F710" s="335">
        <f>ROUND(C710*E710,2)</f>
        <v>508.96</v>
      </c>
      <c r="G710" s="260"/>
      <c r="H710" s="260"/>
      <c r="I710" s="260"/>
      <c r="J710" s="369"/>
    </row>
    <row r="711" spans="1:10" s="130" customFormat="1" ht="12.75" hidden="1" customHeight="1" x14ac:dyDescent="0.2">
      <c r="A711" s="126"/>
      <c r="B711" s="737" t="s">
        <v>871</v>
      </c>
      <c r="C711" s="427">
        <v>20</v>
      </c>
      <c r="D711" s="250" t="s">
        <v>234</v>
      </c>
      <c r="E711" s="427">
        <f>F710</f>
        <v>508.96</v>
      </c>
      <c r="F711" s="335">
        <f>ROUND(C711*E711,2)/100</f>
        <v>101.792</v>
      </c>
      <c r="G711" s="260"/>
      <c r="H711" s="260"/>
      <c r="I711" s="260"/>
      <c r="J711" s="369"/>
    </row>
    <row r="712" spans="1:10" s="130" customFormat="1" ht="12.75" hidden="1" customHeight="1" x14ac:dyDescent="0.2">
      <c r="A712" s="126"/>
      <c r="B712" s="738" t="str">
        <f>B38&amp;" RD$"&amp;"/DIA"</f>
        <v>OPERARIO 2º @ 1,255.00 RD$/DIA</v>
      </c>
      <c r="C712" s="427">
        <v>1</v>
      </c>
      <c r="D712" s="250" t="s">
        <v>374</v>
      </c>
      <c r="E712" s="427">
        <f>E38/8</f>
        <v>156.875</v>
      </c>
      <c r="F712" s="335">
        <f>ROUND(C712*E712,2)</f>
        <v>156.88</v>
      </c>
      <c r="G712" s="260"/>
      <c r="H712" s="260"/>
      <c r="I712" s="260"/>
      <c r="J712" s="369"/>
    </row>
    <row r="713" spans="1:10" s="130" customFormat="1" ht="12.75" hidden="1" customHeight="1" thickBot="1" x14ac:dyDescent="0.25">
      <c r="A713" s="142"/>
      <c r="B713" s="739"/>
      <c r="C713" s="740"/>
      <c r="D713" s="739"/>
      <c r="E713" s="741" t="s">
        <v>872</v>
      </c>
      <c r="F713" s="742">
        <f>SUM(F709:F712)</f>
        <v>2018.4319999999998</v>
      </c>
      <c r="G713" s="260"/>
      <c r="H713" s="260"/>
      <c r="I713" s="260"/>
      <c r="J713" s="369"/>
    </row>
    <row r="714" spans="1:10" s="130" customFormat="1" ht="10.5" hidden="1" customHeight="1" thickTop="1" x14ac:dyDescent="0.2">
      <c r="B714" s="731"/>
      <c r="C714" s="726"/>
      <c r="D714" s="726"/>
      <c r="E714" s="728"/>
      <c r="F714" s="729"/>
      <c r="G714" s="260"/>
      <c r="H714" s="260"/>
      <c r="I714" s="260"/>
      <c r="J714" s="369"/>
    </row>
    <row r="715" spans="1:10" s="130" customFormat="1" ht="12.75" hidden="1" customHeight="1" x14ac:dyDescent="0.2">
      <c r="B715" s="730" t="s">
        <v>889</v>
      </c>
      <c r="C715" s="726"/>
      <c r="D715" s="726"/>
      <c r="E715" s="728"/>
      <c r="F715" s="729"/>
      <c r="G715" s="260"/>
      <c r="H715" s="260"/>
      <c r="I715" s="260"/>
      <c r="J715" s="369"/>
    </row>
    <row r="716" spans="1:10" s="130" customFormat="1" ht="12.75" hidden="1" customHeight="1" thickBot="1" x14ac:dyDescent="0.25">
      <c r="B716" s="731" t="s">
        <v>890</v>
      </c>
      <c r="C716" s="732">
        <v>128</v>
      </c>
      <c r="D716" s="261" t="s">
        <v>867</v>
      </c>
      <c r="E716" s="734"/>
      <c r="F716" s="729"/>
      <c r="G716" s="260"/>
      <c r="H716" s="260"/>
      <c r="I716" s="260"/>
      <c r="J716" s="369"/>
    </row>
    <row r="717" spans="1:10" s="130" customFormat="1" ht="12.75" hidden="1" customHeight="1" thickTop="1" x14ac:dyDescent="0.2">
      <c r="A717" s="134"/>
      <c r="B717" s="735" t="s">
        <v>868</v>
      </c>
      <c r="C717" s="736">
        <v>1</v>
      </c>
      <c r="D717" s="249" t="s">
        <v>374</v>
      </c>
      <c r="E717" s="736">
        <v>3793.27</v>
      </c>
      <c r="F717" s="334">
        <f>ROUND(C717*E717,2)</f>
        <v>3793.27</v>
      </c>
      <c r="G717" s="260"/>
      <c r="H717" s="260"/>
      <c r="I717" s="260"/>
      <c r="J717" s="369"/>
    </row>
    <row r="718" spans="1:10" s="130" customFormat="1" ht="12.75" hidden="1" customHeight="1" x14ac:dyDescent="0.2">
      <c r="A718" s="126"/>
      <c r="B718" s="737" t="s">
        <v>869</v>
      </c>
      <c r="C718" s="427">
        <v>5.12</v>
      </c>
      <c r="D718" s="250" t="s">
        <v>870</v>
      </c>
      <c r="E718" s="427">
        <f>F32*F35</f>
        <v>153.30149999999998</v>
      </c>
      <c r="F718" s="335">
        <f>ROUND(C718*E718,2)</f>
        <v>784.9</v>
      </c>
      <c r="G718" s="260"/>
      <c r="H718" s="260"/>
      <c r="I718" s="260"/>
      <c r="J718" s="369">
        <f>128*0.04</f>
        <v>5.12</v>
      </c>
    </row>
    <row r="719" spans="1:10" s="130" customFormat="1" ht="12.75" hidden="1" customHeight="1" x14ac:dyDescent="0.2">
      <c r="A719" s="126"/>
      <c r="B719" s="737" t="s">
        <v>871</v>
      </c>
      <c r="C719" s="427">
        <v>20</v>
      </c>
      <c r="D719" s="250" t="s">
        <v>234</v>
      </c>
      <c r="E719" s="427">
        <f>F718</f>
        <v>784.9</v>
      </c>
      <c r="F719" s="335">
        <f>ROUND(C719*E719,2)/100</f>
        <v>156.97999999999999</v>
      </c>
      <c r="G719" s="260"/>
      <c r="H719" s="260"/>
      <c r="I719" s="260"/>
      <c r="J719" s="369"/>
    </row>
    <row r="720" spans="1:10" s="130" customFormat="1" ht="12.75" hidden="1" customHeight="1" x14ac:dyDescent="0.2">
      <c r="A720" s="126"/>
      <c r="B720" s="737" t="s">
        <v>891</v>
      </c>
      <c r="C720" s="427">
        <v>1</v>
      </c>
      <c r="D720" s="250" t="s">
        <v>8</v>
      </c>
      <c r="E720" s="427">
        <v>150</v>
      </c>
      <c r="F720" s="335">
        <f>ROUND(C720*E720,2)</f>
        <v>150</v>
      </c>
      <c r="G720" s="260"/>
      <c r="H720" s="260"/>
      <c r="I720" s="260"/>
      <c r="J720" s="369"/>
    </row>
    <row r="721" spans="1:13" s="130" customFormat="1" ht="12.75" hidden="1" customHeight="1" x14ac:dyDescent="0.2">
      <c r="A721" s="126"/>
      <c r="B721" s="737" t="s">
        <v>892</v>
      </c>
      <c r="C721" s="427">
        <v>1</v>
      </c>
      <c r="D721" s="250" t="s">
        <v>374</v>
      </c>
      <c r="E721" s="427">
        <v>162.5</v>
      </c>
      <c r="F721" s="335">
        <f>ROUND(C721*E721,2)</f>
        <v>162.5</v>
      </c>
      <c r="G721" s="260"/>
      <c r="H721" s="260"/>
      <c r="I721" s="260"/>
      <c r="J721" s="369"/>
    </row>
    <row r="722" spans="1:13" s="130" customFormat="1" ht="12.75" hidden="1" customHeight="1" thickBot="1" x14ac:dyDescent="0.25">
      <c r="A722" s="142"/>
      <c r="B722" s="739"/>
      <c r="C722" s="740"/>
      <c r="D722" s="739"/>
      <c r="E722" s="741" t="s">
        <v>872</v>
      </c>
      <c r="F722" s="742">
        <f>SUM(F717:F721)</f>
        <v>5047.6499999999996</v>
      </c>
      <c r="G722" s="260"/>
      <c r="H722" s="260"/>
      <c r="I722" s="260"/>
      <c r="J722" s="369"/>
    </row>
    <row r="723" spans="1:13" s="130" customFormat="1" ht="12.75" hidden="1" customHeight="1" thickTop="1" x14ac:dyDescent="0.2">
      <c r="A723" s="134"/>
      <c r="B723" s="760" t="s">
        <v>873</v>
      </c>
      <c r="C723" s="761">
        <v>63.5</v>
      </c>
      <c r="D723" s="249" t="s">
        <v>435</v>
      </c>
      <c r="E723" s="596" t="s">
        <v>424</v>
      </c>
      <c r="F723" s="762">
        <f>$F$722/C723</f>
        <v>79.490551181102362</v>
      </c>
      <c r="G723" s="260"/>
      <c r="H723" s="260"/>
      <c r="I723" s="260">
        <v>63.5</v>
      </c>
      <c r="J723" s="369"/>
    </row>
    <row r="724" spans="1:13" s="130" customFormat="1" ht="12.75" hidden="1" customHeight="1" x14ac:dyDescent="0.2">
      <c r="A724" s="126"/>
      <c r="B724" s="748" t="s">
        <v>874</v>
      </c>
      <c r="C724" s="427">
        <v>60.25</v>
      </c>
      <c r="D724" s="250" t="s">
        <v>435</v>
      </c>
      <c r="E724" s="763" t="s">
        <v>424</v>
      </c>
      <c r="F724" s="764">
        <f t="shared" ref="F724:F743" si="18">$F$722/C724</f>
        <v>83.778423236514513</v>
      </c>
      <c r="G724" s="260"/>
      <c r="H724" s="260"/>
      <c r="I724" s="260"/>
      <c r="J724" s="369"/>
    </row>
    <row r="725" spans="1:13" s="130" customFormat="1" ht="12.75" hidden="1" customHeight="1" x14ac:dyDescent="0.2">
      <c r="A725" s="126"/>
      <c r="B725" s="748" t="s">
        <v>893</v>
      </c>
      <c r="C725" s="427">
        <v>64</v>
      </c>
      <c r="D725" s="250" t="s">
        <v>435</v>
      </c>
      <c r="E725" s="763" t="s">
        <v>424</v>
      </c>
      <c r="F725" s="764">
        <f t="shared" si="18"/>
        <v>78.869531249999994</v>
      </c>
      <c r="G725" s="260"/>
      <c r="H725" s="260"/>
      <c r="I725" s="260"/>
      <c r="J725" s="369"/>
    </row>
    <row r="726" spans="1:13" s="130" customFormat="1" ht="12.75" hidden="1" customHeight="1" x14ac:dyDescent="0.2">
      <c r="A726" s="126"/>
      <c r="B726" s="748" t="s">
        <v>894</v>
      </c>
      <c r="C726" s="427">
        <v>50.25</v>
      </c>
      <c r="D726" s="250" t="s">
        <v>435</v>
      </c>
      <c r="E726" s="763" t="s">
        <v>424</v>
      </c>
      <c r="F726" s="764">
        <f t="shared" si="18"/>
        <v>100.45074626865672</v>
      </c>
      <c r="G726" s="260"/>
      <c r="H726" s="260"/>
      <c r="I726" s="260"/>
      <c r="J726" s="369"/>
    </row>
    <row r="727" spans="1:13" s="130" customFormat="1" ht="12.75" hidden="1" customHeight="1" x14ac:dyDescent="0.2">
      <c r="A727" s="126"/>
      <c r="B727" s="748" t="s">
        <v>895</v>
      </c>
      <c r="C727" s="427">
        <v>25.13</v>
      </c>
      <c r="D727" s="250" t="s">
        <v>435</v>
      </c>
      <c r="E727" s="763" t="s">
        <v>424</v>
      </c>
      <c r="F727" s="764">
        <f t="shared" si="18"/>
        <v>200.86152009550338</v>
      </c>
      <c r="G727" s="260"/>
      <c r="H727" s="260"/>
      <c r="I727" s="260"/>
      <c r="J727" s="369"/>
      <c r="K727" s="765"/>
    </row>
    <row r="728" spans="1:13" s="130" customFormat="1" ht="12.75" hidden="1" customHeight="1" x14ac:dyDescent="0.2">
      <c r="A728" s="126"/>
      <c r="B728" s="748" t="s">
        <v>896</v>
      </c>
      <c r="C728" s="427">
        <v>22</v>
      </c>
      <c r="D728" s="250" t="s">
        <v>435</v>
      </c>
      <c r="E728" s="763" t="s">
        <v>424</v>
      </c>
      <c r="F728" s="764">
        <f>$F$722/C728</f>
        <v>229.43863636363633</v>
      </c>
      <c r="G728" s="260"/>
      <c r="H728" s="260"/>
      <c r="I728" s="260"/>
      <c r="J728" s="369"/>
    </row>
    <row r="729" spans="1:13" s="130" customFormat="1" ht="12.75" hidden="1" customHeight="1" x14ac:dyDescent="0.2">
      <c r="A729" s="126"/>
      <c r="B729" s="229" t="s">
        <v>875</v>
      </c>
      <c r="C729" s="427">
        <v>27.5</v>
      </c>
      <c r="D729" s="250" t="s">
        <v>435</v>
      </c>
      <c r="E729" s="763" t="s">
        <v>424</v>
      </c>
      <c r="F729" s="764">
        <f>$F$722/C729</f>
        <v>183.55090909090907</v>
      </c>
      <c r="G729" s="260"/>
      <c r="H729" s="260"/>
      <c r="I729" s="260"/>
      <c r="J729" s="369"/>
    </row>
    <row r="730" spans="1:13" s="130" customFormat="1" ht="12.75" hidden="1" customHeight="1" x14ac:dyDescent="0.2">
      <c r="A730" s="126"/>
      <c r="B730" s="748" t="s">
        <v>897</v>
      </c>
      <c r="C730" s="427">
        <v>45.23</v>
      </c>
      <c r="D730" s="250" t="s">
        <v>435</v>
      </c>
      <c r="E730" s="763" t="s">
        <v>424</v>
      </c>
      <c r="F730" s="764">
        <f t="shared" si="18"/>
        <v>111.5996020340482</v>
      </c>
      <c r="G730" s="260"/>
      <c r="H730" s="260"/>
      <c r="I730" s="260"/>
      <c r="J730" s="369"/>
      <c r="K730" s="260"/>
    </row>
    <row r="731" spans="1:13" s="130" customFormat="1" ht="12.75" hidden="1" customHeight="1" x14ac:dyDescent="0.2">
      <c r="A731" s="126"/>
      <c r="B731" s="748" t="s">
        <v>898</v>
      </c>
      <c r="C731" s="427">
        <v>36.5</v>
      </c>
      <c r="D731" s="250" t="s">
        <v>435</v>
      </c>
      <c r="E731" s="763" t="s">
        <v>424</v>
      </c>
      <c r="F731" s="764">
        <f t="shared" si="18"/>
        <v>138.2917808219178</v>
      </c>
      <c r="G731" s="260"/>
      <c r="H731" s="260"/>
      <c r="I731" s="260"/>
      <c r="J731" s="369"/>
      <c r="K731" s="260"/>
    </row>
    <row r="732" spans="1:13" s="130" customFormat="1" ht="12.75" hidden="1" customHeight="1" x14ac:dyDescent="0.2">
      <c r="A732" s="126"/>
      <c r="B732" s="748" t="s">
        <v>899</v>
      </c>
      <c r="C732" s="427">
        <v>33.5</v>
      </c>
      <c r="D732" s="250" t="s">
        <v>435</v>
      </c>
      <c r="E732" s="763" t="s">
        <v>424</v>
      </c>
      <c r="F732" s="764">
        <f t="shared" si="18"/>
        <v>150.67611940298505</v>
      </c>
      <c r="G732" s="260"/>
      <c r="H732" s="260"/>
      <c r="I732" s="260"/>
      <c r="J732" s="369"/>
      <c r="K732" s="260"/>
    </row>
    <row r="733" spans="1:13" s="130" customFormat="1" ht="12.75" hidden="1" customHeight="1" x14ac:dyDescent="0.2">
      <c r="A733" s="126"/>
      <c r="B733" s="748" t="s">
        <v>900</v>
      </c>
      <c r="C733" s="427">
        <v>29.2</v>
      </c>
      <c r="D733" s="250" t="s">
        <v>435</v>
      </c>
      <c r="E733" s="763" t="s">
        <v>424</v>
      </c>
      <c r="F733" s="764">
        <f t="shared" si="18"/>
        <v>172.86472602739724</v>
      </c>
      <c r="G733" s="260"/>
      <c r="H733" s="260"/>
      <c r="I733" s="260"/>
      <c r="J733" s="369"/>
      <c r="K733" s="260"/>
    </row>
    <row r="734" spans="1:13" s="130" customFormat="1" ht="12.75" hidden="1" customHeight="1" x14ac:dyDescent="0.2">
      <c r="A734" s="126"/>
      <c r="B734" s="748" t="s">
        <v>901</v>
      </c>
      <c r="C734" s="427">
        <v>57.68</v>
      </c>
      <c r="D734" s="250" t="s">
        <v>435</v>
      </c>
      <c r="E734" s="763" t="s">
        <v>424</v>
      </c>
      <c r="F734" s="764">
        <f t="shared" si="18"/>
        <v>87.511269070735082</v>
      </c>
      <c r="G734" s="260"/>
      <c r="H734" s="260"/>
      <c r="I734" s="260"/>
      <c r="J734" s="369"/>
    </row>
    <row r="735" spans="1:13" s="130" customFormat="1" ht="12.75" hidden="1" customHeight="1" x14ac:dyDescent="0.2">
      <c r="A735" s="126"/>
      <c r="B735" s="748" t="s">
        <v>902</v>
      </c>
      <c r="C735" s="427">
        <v>46.87</v>
      </c>
      <c r="D735" s="250" t="s">
        <v>435</v>
      </c>
      <c r="E735" s="763" t="s">
        <v>424</v>
      </c>
      <c r="F735" s="764">
        <f t="shared" si="18"/>
        <v>107.69468743332622</v>
      </c>
      <c r="G735" s="260"/>
      <c r="H735" s="260"/>
      <c r="I735" s="260"/>
      <c r="J735" s="369"/>
      <c r="L735" s="260"/>
      <c r="M735" s="260"/>
    </row>
    <row r="736" spans="1:13" s="130" customFormat="1" ht="12.75" hidden="1" customHeight="1" x14ac:dyDescent="0.2">
      <c r="A736" s="126"/>
      <c r="B736" s="748" t="s">
        <v>903</v>
      </c>
      <c r="C736" s="427">
        <v>49.03</v>
      </c>
      <c r="D736" s="250" t="s">
        <v>435</v>
      </c>
      <c r="E736" s="763" t="s">
        <v>424</v>
      </c>
      <c r="F736" s="764">
        <f t="shared" si="18"/>
        <v>102.95023455027533</v>
      </c>
      <c r="G736" s="260"/>
      <c r="H736" s="260"/>
      <c r="I736" s="260"/>
      <c r="J736" s="369"/>
      <c r="L736" s="260"/>
      <c r="M736" s="260"/>
    </row>
    <row r="737" spans="1:13" s="130" customFormat="1" ht="12.75" hidden="1" customHeight="1" x14ac:dyDescent="0.2">
      <c r="A737" s="126"/>
      <c r="B737" s="748" t="s">
        <v>904</v>
      </c>
      <c r="C737" s="427">
        <v>22</v>
      </c>
      <c r="D737" s="250" t="s">
        <v>435</v>
      </c>
      <c r="E737" s="763" t="s">
        <v>424</v>
      </c>
      <c r="F737" s="764">
        <f t="shared" si="18"/>
        <v>229.43863636363633</v>
      </c>
      <c r="G737" s="260"/>
      <c r="H737" s="260"/>
      <c r="I737" s="260"/>
      <c r="J737" s="369"/>
      <c r="K737" s="260"/>
      <c r="L737" s="260"/>
      <c r="M737" s="260"/>
    </row>
    <row r="738" spans="1:13" s="130" customFormat="1" ht="12.75" hidden="1" customHeight="1" x14ac:dyDescent="0.2">
      <c r="A738" s="126"/>
      <c r="B738" s="748" t="s">
        <v>905</v>
      </c>
      <c r="C738" s="427">
        <v>22.43</v>
      </c>
      <c r="D738" s="250" t="s">
        <v>435</v>
      </c>
      <c r="E738" s="763" t="s">
        <v>424</v>
      </c>
      <c r="F738" s="764">
        <f t="shared" si="18"/>
        <v>225.04012483281318</v>
      </c>
      <c r="G738" s="260"/>
      <c r="H738" s="260"/>
      <c r="I738" s="260"/>
      <c r="J738" s="369"/>
      <c r="L738" s="260"/>
      <c r="M738" s="260"/>
    </row>
    <row r="739" spans="1:13" s="130" customFormat="1" ht="12.75" hidden="1" customHeight="1" x14ac:dyDescent="0.2">
      <c r="A739" s="126"/>
      <c r="B739" s="748" t="s">
        <v>906</v>
      </c>
      <c r="C739" s="427">
        <v>17.059999999999999</v>
      </c>
      <c r="D739" s="250" t="s">
        <v>435</v>
      </c>
      <c r="E739" s="763" t="s">
        <v>424</v>
      </c>
      <c r="F739" s="764">
        <f t="shared" si="18"/>
        <v>295.87631887456035</v>
      </c>
      <c r="G739" s="260"/>
      <c r="H739" s="260"/>
      <c r="I739" s="260"/>
      <c r="J739" s="369"/>
    </row>
    <row r="740" spans="1:13" s="130" customFormat="1" ht="12.75" hidden="1" customHeight="1" x14ac:dyDescent="0.2">
      <c r="A740" s="126"/>
      <c r="B740" s="748" t="s">
        <v>907</v>
      </c>
      <c r="C740" s="427">
        <v>26.43</v>
      </c>
      <c r="D740" s="250" t="s">
        <v>435</v>
      </c>
      <c r="E740" s="763" t="s">
        <v>424</v>
      </c>
      <c r="F740" s="764">
        <f t="shared" si="18"/>
        <v>190.98183881952326</v>
      </c>
      <c r="G740" s="260"/>
      <c r="H740" s="260"/>
      <c r="I740" s="260"/>
      <c r="J740" s="369"/>
    </row>
    <row r="741" spans="1:13" s="130" customFormat="1" ht="12.75" hidden="1" customHeight="1" x14ac:dyDescent="0.2">
      <c r="A741" s="126"/>
      <c r="B741" s="748" t="s">
        <v>908</v>
      </c>
      <c r="C741" s="427">
        <v>22.58</v>
      </c>
      <c r="D741" s="250" t="s">
        <v>435</v>
      </c>
      <c r="E741" s="763" t="s">
        <v>424</v>
      </c>
      <c r="F741" s="764">
        <f t="shared" si="18"/>
        <v>223.54517271922055</v>
      </c>
      <c r="G741" s="260"/>
      <c r="H741" s="260"/>
      <c r="I741" s="260"/>
      <c r="J741" s="369"/>
      <c r="L741" s="260"/>
    </row>
    <row r="742" spans="1:13" s="130" customFormat="1" ht="12.75" hidden="1" customHeight="1" x14ac:dyDescent="0.2">
      <c r="A742" s="126"/>
      <c r="B742" s="748" t="s">
        <v>909</v>
      </c>
      <c r="C742" s="427">
        <v>46.87</v>
      </c>
      <c r="D742" s="250" t="s">
        <v>435</v>
      </c>
      <c r="E742" s="763" t="s">
        <v>424</v>
      </c>
      <c r="F742" s="764">
        <f t="shared" si="18"/>
        <v>107.69468743332622</v>
      </c>
      <c r="G742" s="260"/>
      <c r="H742" s="260"/>
      <c r="I742" s="260"/>
      <c r="J742" s="369"/>
      <c r="L742" s="260"/>
    </row>
    <row r="743" spans="1:13" s="130" customFormat="1" ht="12.75" hidden="1" customHeight="1" thickBot="1" x14ac:dyDescent="0.25">
      <c r="A743" s="142"/>
      <c r="B743" s="766" t="s">
        <v>910</v>
      </c>
      <c r="C743" s="767">
        <v>28.25</v>
      </c>
      <c r="D743" s="188" t="s">
        <v>435</v>
      </c>
      <c r="E743" s="768" t="s">
        <v>424</v>
      </c>
      <c r="F743" s="769">
        <f t="shared" si="18"/>
        <v>178.67787610619467</v>
      </c>
      <c r="G743" s="260"/>
      <c r="H743" s="260"/>
      <c r="I743" s="260"/>
      <c r="J743" s="369"/>
    </row>
    <row r="744" spans="1:13" s="130" customFormat="1" ht="12.75" hidden="1" customHeight="1" thickTop="1" thickBot="1" x14ac:dyDescent="0.25">
      <c r="A744" s="253"/>
      <c r="B744" s="770" t="s">
        <v>893</v>
      </c>
      <c r="C744" s="771"/>
      <c r="D744" s="772" t="s">
        <v>911</v>
      </c>
      <c r="E744" s="773"/>
      <c r="F744" s="774">
        <v>105.1</v>
      </c>
      <c r="G744" s="260"/>
      <c r="H744" s="260"/>
      <c r="I744" s="260"/>
      <c r="J744" s="369"/>
    </row>
    <row r="745" spans="1:13" s="130" customFormat="1" ht="5.0999999999999996" hidden="1" customHeight="1" thickTop="1" x14ac:dyDescent="0.2">
      <c r="B745" s="726"/>
      <c r="C745" s="775"/>
      <c r="D745" s="726"/>
      <c r="E745" s="775"/>
      <c r="F745" s="775"/>
      <c r="G745" s="260"/>
      <c r="H745" s="260"/>
      <c r="I745" s="260"/>
      <c r="J745" s="369"/>
    </row>
    <row r="746" spans="1:13" s="130" customFormat="1" ht="12.75" hidden="1" customHeight="1" thickBot="1" x14ac:dyDescent="0.25">
      <c r="B746" s="731" t="s">
        <v>912</v>
      </c>
      <c r="C746" s="732">
        <v>128</v>
      </c>
      <c r="D746" s="261" t="s">
        <v>867</v>
      </c>
      <c r="E746" s="734"/>
      <c r="F746" s="729"/>
      <c r="G746" s="260"/>
      <c r="H746" s="260"/>
      <c r="I746" s="260"/>
      <c r="J746" s="369"/>
    </row>
    <row r="747" spans="1:13" s="130" customFormat="1" ht="12.75" hidden="1" customHeight="1" thickTop="1" x14ac:dyDescent="0.2">
      <c r="A747" s="134"/>
      <c r="B747" s="776" t="s">
        <v>868</v>
      </c>
      <c r="C747" s="736">
        <v>1</v>
      </c>
      <c r="D747" s="249" t="s">
        <v>374</v>
      </c>
      <c r="E747" s="736">
        <v>3793.27</v>
      </c>
      <c r="F747" s="334">
        <f>ROUND(C747*E747,2)</f>
        <v>3793.27</v>
      </c>
      <c r="G747" s="260"/>
      <c r="H747" s="260"/>
      <c r="I747" s="260"/>
      <c r="J747" s="369"/>
    </row>
    <row r="748" spans="1:13" s="130" customFormat="1" ht="12.75" hidden="1" customHeight="1" x14ac:dyDescent="0.2">
      <c r="A748" s="777"/>
      <c r="B748" s="737" t="s">
        <v>913</v>
      </c>
      <c r="C748" s="778">
        <v>1</v>
      </c>
      <c r="D748" s="500" t="s">
        <v>374</v>
      </c>
      <c r="E748" s="778">
        <v>1200</v>
      </c>
      <c r="F748" s="335">
        <f>ROUND(C748*E748,2)</f>
        <v>1200</v>
      </c>
      <c r="G748" s="260"/>
      <c r="H748" s="260"/>
      <c r="I748" s="260"/>
      <c r="J748" s="369"/>
    </row>
    <row r="749" spans="1:13" s="130" customFormat="1" ht="12.75" hidden="1" customHeight="1" x14ac:dyDescent="0.2">
      <c r="A749" s="126"/>
      <c r="B749" s="737" t="s">
        <v>869</v>
      </c>
      <c r="C749" s="427">
        <v>5.12</v>
      </c>
      <c r="D749" s="250" t="s">
        <v>870</v>
      </c>
      <c r="E749" s="427">
        <f>F32*F35</f>
        <v>153.30149999999998</v>
      </c>
      <c r="F749" s="335">
        <f>ROUND(C749*E749,2)</f>
        <v>784.9</v>
      </c>
      <c r="G749" s="260"/>
      <c r="H749" s="260"/>
      <c r="I749" s="260"/>
      <c r="J749" s="369"/>
    </row>
    <row r="750" spans="1:13" s="130" customFormat="1" ht="12.75" hidden="1" customHeight="1" x14ac:dyDescent="0.2">
      <c r="A750" s="126"/>
      <c r="B750" s="737" t="s">
        <v>871</v>
      </c>
      <c r="C750" s="427">
        <v>20</v>
      </c>
      <c r="D750" s="250" t="s">
        <v>234</v>
      </c>
      <c r="E750" s="427">
        <f>F749</f>
        <v>784.9</v>
      </c>
      <c r="F750" s="335">
        <f>ROUND(C750*E750,2)/100</f>
        <v>156.97999999999999</v>
      </c>
      <c r="G750" s="260"/>
      <c r="H750" s="260"/>
      <c r="I750" s="260"/>
      <c r="J750" s="369"/>
    </row>
    <row r="751" spans="1:13" s="130" customFormat="1" ht="12.75" hidden="1" customHeight="1" x14ac:dyDescent="0.2">
      <c r="A751" s="126"/>
      <c r="B751" s="737" t="s">
        <v>891</v>
      </c>
      <c r="C751" s="427">
        <v>1</v>
      </c>
      <c r="D751" s="250" t="s">
        <v>8</v>
      </c>
      <c r="E751" s="427">
        <v>150</v>
      </c>
      <c r="F751" s="335">
        <f>ROUND(C751*E751,2)</f>
        <v>150</v>
      </c>
      <c r="G751" s="260"/>
      <c r="H751" s="260">
        <v>650</v>
      </c>
      <c r="I751" s="260"/>
      <c r="J751" s="369"/>
    </row>
    <row r="752" spans="1:13" s="130" customFormat="1" ht="12.75" hidden="1" customHeight="1" x14ac:dyDescent="0.2">
      <c r="A752" s="126"/>
      <c r="B752" s="737" t="s">
        <v>892</v>
      </c>
      <c r="C752" s="427">
        <v>1</v>
      </c>
      <c r="D752" s="250" t="s">
        <v>374</v>
      </c>
      <c r="E752" s="427">
        <v>162.5</v>
      </c>
      <c r="F752" s="335">
        <f>ROUND(C752*E752,2)</f>
        <v>162.5</v>
      </c>
      <c r="G752" s="260"/>
      <c r="H752" s="260">
        <f>H751/8</f>
        <v>81.25</v>
      </c>
      <c r="I752" s="260"/>
      <c r="J752" s="369"/>
    </row>
    <row r="753" spans="1:10" s="130" customFormat="1" ht="12.75" hidden="1" customHeight="1" x14ac:dyDescent="0.2">
      <c r="A753" s="414"/>
      <c r="B753" s="56" t="s">
        <v>914</v>
      </c>
      <c r="C753" s="779">
        <v>1</v>
      </c>
      <c r="D753" s="455"/>
      <c r="E753" s="779">
        <v>81.25</v>
      </c>
      <c r="F753" s="780">
        <f>ROUND(C753*E753,2)</f>
        <v>81.25</v>
      </c>
      <c r="G753" s="260"/>
      <c r="H753" s="260">
        <f>H752*2</f>
        <v>162.5</v>
      </c>
      <c r="I753" s="260"/>
      <c r="J753" s="369"/>
    </row>
    <row r="754" spans="1:10" s="130" customFormat="1" ht="12.75" hidden="1" customHeight="1" thickBot="1" x14ac:dyDescent="0.25">
      <c r="A754" s="142"/>
      <c r="B754" s="739"/>
      <c r="C754" s="740"/>
      <c r="D754" s="739"/>
      <c r="E754" s="741" t="s">
        <v>872</v>
      </c>
      <c r="F754" s="742">
        <f>SUM(F747:F753)</f>
        <v>6328.9</v>
      </c>
      <c r="G754" s="260"/>
      <c r="H754" s="260"/>
      <c r="I754" s="260"/>
      <c r="J754" s="369"/>
    </row>
    <row r="755" spans="1:10" s="130" customFormat="1" ht="12.75" hidden="1" customHeight="1" thickTop="1" x14ac:dyDescent="0.2">
      <c r="A755" s="134"/>
      <c r="B755" s="781" t="s">
        <v>915</v>
      </c>
      <c r="C755" s="137">
        <v>13.2</v>
      </c>
      <c r="D755" s="249" t="s">
        <v>435</v>
      </c>
      <c r="E755" s="596" t="s">
        <v>424</v>
      </c>
      <c r="F755" s="782">
        <f>F754/C755</f>
        <v>479.46212121212119</v>
      </c>
      <c r="G755" s="260"/>
      <c r="H755" s="260"/>
      <c r="I755" s="260"/>
      <c r="J755" s="369"/>
    </row>
    <row r="756" spans="1:10" s="130" customFormat="1" ht="12.75" hidden="1" customHeight="1" x14ac:dyDescent="0.2">
      <c r="A756" s="777"/>
      <c r="B756" s="229" t="s">
        <v>915</v>
      </c>
      <c r="C756" s="783" t="s">
        <v>916</v>
      </c>
      <c r="D756" s="500"/>
      <c r="E756" s="784"/>
      <c r="F756" s="785">
        <f>ROUND(F755+$F$787,2)</f>
        <v>662.97</v>
      </c>
      <c r="G756" s="260"/>
      <c r="H756" s="260"/>
      <c r="I756" s="260"/>
      <c r="J756" s="369"/>
    </row>
    <row r="757" spans="1:10" s="130" customFormat="1" ht="12.75" hidden="1" customHeight="1" x14ac:dyDescent="0.2">
      <c r="A757" s="126"/>
      <c r="B757" s="229" t="s">
        <v>917</v>
      </c>
      <c r="C757" s="140">
        <v>11.9</v>
      </c>
      <c r="D757" s="250" t="s">
        <v>435</v>
      </c>
      <c r="E757" s="763" t="s">
        <v>424</v>
      </c>
      <c r="F757" s="752">
        <f>F754/C757</f>
        <v>531.84033613445376</v>
      </c>
      <c r="G757" s="260"/>
      <c r="H757" s="260"/>
      <c r="I757" s="260">
        <f>650/8</f>
        <v>81.25</v>
      </c>
      <c r="J757" s="369"/>
    </row>
    <row r="758" spans="1:10" s="130" customFormat="1" ht="12.75" hidden="1" customHeight="1" x14ac:dyDescent="0.2">
      <c r="A758" s="126"/>
      <c r="B758" s="229" t="s">
        <v>917</v>
      </c>
      <c r="C758" s="783" t="s">
        <v>916</v>
      </c>
      <c r="D758" s="250"/>
      <c r="E758" s="763"/>
      <c r="F758" s="785">
        <f>ROUND(F757+$F$787,2)</f>
        <v>715.35</v>
      </c>
      <c r="G758" s="260"/>
      <c r="H758" s="260"/>
      <c r="I758" s="260"/>
      <c r="J758" s="369"/>
    </row>
    <row r="759" spans="1:10" s="130" customFormat="1" ht="12.75" hidden="1" customHeight="1" x14ac:dyDescent="0.2">
      <c r="A759" s="126"/>
      <c r="B759" s="229" t="s">
        <v>918</v>
      </c>
      <c r="C759" s="140">
        <v>6.5</v>
      </c>
      <c r="D759" s="250" t="s">
        <v>435</v>
      </c>
      <c r="E759" s="763" t="s">
        <v>424</v>
      </c>
      <c r="F759" s="752">
        <f>F754/C759</f>
        <v>973.676923076923</v>
      </c>
      <c r="G759" s="260"/>
      <c r="H759" s="260"/>
      <c r="I759" s="260"/>
      <c r="J759" s="369"/>
    </row>
    <row r="760" spans="1:10" s="130" customFormat="1" ht="12.75" hidden="1" customHeight="1" x14ac:dyDescent="0.2">
      <c r="A760" s="414"/>
      <c r="B760" s="229" t="s">
        <v>918</v>
      </c>
      <c r="C760" s="783" t="s">
        <v>916</v>
      </c>
      <c r="D760" s="455"/>
      <c r="E760" s="786"/>
      <c r="F760" s="785">
        <f>ROUND(F759+$F$787,2)</f>
        <v>1157.19</v>
      </c>
      <c r="G760" s="260"/>
      <c r="H760" s="260"/>
      <c r="I760" s="260"/>
      <c r="J760" s="369"/>
    </row>
    <row r="761" spans="1:10" s="130" customFormat="1" ht="12.75" hidden="1" customHeight="1" x14ac:dyDescent="0.2">
      <c r="A761" s="414"/>
      <c r="B761" s="753" t="s">
        <v>919</v>
      </c>
      <c r="C761" s="458">
        <v>5.9</v>
      </c>
      <c r="D761" s="455" t="s">
        <v>435</v>
      </c>
      <c r="E761" s="593" t="s">
        <v>424</v>
      </c>
      <c r="F761" s="756">
        <f>F754/C761</f>
        <v>1072.6949152542372</v>
      </c>
      <c r="G761" s="260"/>
      <c r="H761" s="260"/>
      <c r="I761" s="260"/>
      <c r="J761" s="369"/>
    </row>
    <row r="762" spans="1:10" s="130" customFormat="1" ht="12.75" hidden="1" customHeight="1" thickBot="1" x14ac:dyDescent="0.25">
      <c r="A762" s="142"/>
      <c r="B762" s="757" t="s">
        <v>919</v>
      </c>
      <c r="C762" s="787" t="s">
        <v>916</v>
      </c>
      <c r="D762" s="188"/>
      <c r="E762" s="236"/>
      <c r="F762" s="788">
        <f>ROUND(F761+$F$787,2)</f>
        <v>1256.21</v>
      </c>
      <c r="G762" s="260"/>
      <c r="H762" s="260"/>
      <c r="I762" s="260"/>
      <c r="J762" s="369"/>
    </row>
    <row r="763" spans="1:10" s="130" customFormat="1" ht="12.75" hidden="1" customHeight="1" thickTop="1" thickBot="1" x14ac:dyDescent="0.25">
      <c r="A763" s="253"/>
      <c r="B763" s="789" t="s">
        <v>918</v>
      </c>
      <c r="C763" s="790" t="s">
        <v>916</v>
      </c>
      <c r="D763" s="256"/>
      <c r="E763" s="791" t="s">
        <v>920</v>
      </c>
      <c r="F763" s="792">
        <v>1181.54</v>
      </c>
      <c r="G763" s="260"/>
      <c r="H763" s="260"/>
      <c r="I763" s="260"/>
      <c r="J763" s="369"/>
    </row>
    <row r="764" spans="1:10" s="130" customFormat="1" ht="12.75" hidden="1" customHeight="1" thickTop="1" x14ac:dyDescent="0.2">
      <c r="C764" s="177"/>
      <c r="D764" s="69"/>
      <c r="E764" s="177"/>
      <c r="F764" s="177"/>
      <c r="G764" s="260"/>
      <c r="H764" s="260"/>
      <c r="I764" s="260"/>
      <c r="J764" s="369"/>
    </row>
    <row r="765" spans="1:10" s="130" customFormat="1" ht="12.75" hidden="1" customHeight="1" thickBot="1" x14ac:dyDescent="0.25">
      <c r="B765" s="731" t="s">
        <v>921</v>
      </c>
      <c r="C765" s="177"/>
      <c r="D765" s="69"/>
      <c r="E765" s="177"/>
      <c r="F765" s="177"/>
      <c r="G765" s="260"/>
      <c r="H765" s="260"/>
      <c r="I765" s="260"/>
      <c r="J765" s="369"/>
    </row>
    <row r="766" spans="1:10" s="130" customFormat="1" ht="12.75" hidden="1" customHeight="1" thickTop="1" x14ac:dyDescent="0.2">
      <c r="A766" s="134"/>
      <c r="B766" s="197" t="s">
        <v>922</v>
      </c>
      <c r="C766" s="137">
        <v>1</v>
      </c>
      <c r="D766" s="249" t="s">
        <v>374</v>
      </c>
      <c r="E766" s="137">
        <v>4500</v>
      </c>
      <c r="F766" s="334">
        <f t="shared" ref="F766:F773" si="19">ROUND(C766*E766,2)</f>
        <v>4500</v>
      </c>
      <c r="G766" s="260"/>
      <c r="H766" s="260"/>
      <c r="I766" s="260"/>
      <c r="J766" s="369"/>
    </row>
    <row r="767" spans="1:10" s="130" customFormat="1" ht="12.75" hidden="1" customHeight="1" x14ac:dyDescent="0.2">
      <c r="A767" s="126"/>
      <c r="B767" s="198" t="s">
        <v>923</v>
      </c>
      <c r="C767" s="140">
        <v>1</v>
      </c>
      <c r="D767" s="250" t="s">
        <v>374</v>
      </c>
      <c r="E767" s="140">
        <v>35</v>
      </c>
      <c r="F767" s="335">
        <f t="shared" si="19"/>
        <v>35</v>
      </c>
      <c r="G767" s="260"/>
      <c r="H767" s="260"/>
      <c r="I767" s="260"/>
      <c r="J767" s="369"/>
    </row>
    <row r="768" spans="1:10" s="130" customFormat="1" ht="12.75" hidden="1" customHeight="1" x14ac:dyDescent="0.2">
      <c r="A768" s="126"/>
      <c r="B768" s="198" t="s">
        <v>924</v>
      </c>
      <c r="C768" s="140">
        <v>1</v>
      </c>
      <c r="D768" s="250" t="s">
        <v>374</v>
      </c>
      <c r="E768" s="140">
        <v>250</v>
      </c>
      <c r="F768" s="335">
        <f t="shared" si="19"/>
        <v>250</v>
      </c>
      <c r="G768" s="260"/>
      <c r="H768" s="260"/>
      <c r="I768" s="260"/>
      <c r="J768" s="369"/>
    </row>
    <row r="769" spans="1:10" s="130" customFormat="1" ht="12.75" hidden="1" customHeight="1" x14ac:dyDescent="0.2">
      <c r="A769" s="126"/>
      <c r="B769" s="198" t="s">
        <v>869</v>
      </c>
      <c r="C769" s="140">
        <v>8</v>
      </c>
      <c r="D769" s="250" t="s">
        <v>925</v>
      </c>
      <c r="E769" s="140">
        <f>F32*F35</f>
        <v>153.30149999999998</v>
      </c>
      <c r="F769" s="335">
        <f t="shared" si="19"/>
        <v>1226.4100000000001</v>
      </c>
      <c r="G769" s="260"/>
      <c r="H769" s="260"/>
      <c r="I769" s="260"/>
      <c r="J769" s="369"/>
    </row>
    <row r="770" spans="1:10" s="130" customFormat="1" ht="12.75" hidden="1" customHeight="1" x14ac:dyDescent="0.2">
      <c r="A770" s="126"/>
      <c r="B770" s="198" t="s">
        <v>926</v>
      </c>
      <c r="C770" s="140">
        <v>0.1</v>
      </c>
      <c r="D770" s="250" t="s">
        <v>870</v>
      </c>
      <c r="E770" s="140">
        <v>350</v>
      </c>
      <c r="F770" s="335">
        <f t="shared" si="19"/>
        <v>35</v>
      </c>
      <c r="G770" s="260"/>
      <c r="H770" s="260"/>
      <c r="I770" s="260"/>
      <c r="J770" s="369"/>
    </row>
    <row r="771" spans="1:10" s="130" customFormat="1" ht="12.75" hidden="1" customHeight="1" x14ac:dyDescent="0.2">
      <c r="A771" s="126"/>
      <c r="B771" s="198" t="s">
        <v>927</v>
      </c>
      <c r="C771" s="140">
        <v>0.25</v>
      </c>
      <c r="D771" s="250" t="s">
        <v>928</v>
      </c>
      <c r="E771" s="140">
        <v>260</v>
      </c>
      <c r="F771" s="335">
        <f t="shared" si="19"/>
        <v>65</v>
      </c>
      <c r="G771" s="260"/>
      <c r="H771" s="260"/>
      <c r="I771" s="260"/>
      <c r="J771" s="369"/>
    </row>
    <row r="772" spans="1:10" s="130" customFormat="1" ht="12.75" hidden="1" customHeight="1" x14ac:dyDescent="0.2">
      <c r="A772" s="126"/>
      <c r="B772" s="198" t="s">
        <v>929</v>
      </c>
      <c r="C772" s="140">
        <v>1</v>
      </c>
      <c r="D772" s="250" t="s">
        <v>374</v>
      </c>
      <c r="E772" s="140">
        <v>162.5</v>
      </c>
      <c r="F772" s="335">
        <f t="shared" si="19"/>
        <v>162.5</v>
      </c>
      <c r="G772" s="260"/>
      <c r="H772" s="260"/>
      <c r="I772" s="260"/>
      <c r="J772" s="369"/>
    </row>
    <row r="773" spans="1:10" s="130" customFormat="1" ht="12.75" hidden="1" customHeight="1" x14ac:dyDescent="0.2">
      <c r="A773" s="126"/>
      <c r="B773" s="198" t="s">
        <v>930</v>
      </c>
      <c r="C773" s="140">
        <v>1</v>
      </c>
      <c r="D773" s="250" t="s">
        <v>374</v>
      </c>
      <c r="E773" s="140">
        <v>81.25</v>
      </c>
      <c r="F773" s="335">
        <f t="shared" si="19"/>
        <v>81.25</v>
      </c>
      <c r="G773" s="260"/>
      <c r="H773" s="260"/>
      <c r="I773" s="260"/>
      <c r="J773" s="369"/>
    </row>
    <row r="774" spans="1:10" s="130" customFormat="1" ht="12.75" hidden="1" customHeight="1" thickBot="1" x14ac:dyDescent="0.25">
      <c r="A774" s="142"/>
      <c r="B774" s="421"/>
      <c r="C774" s="146"/>
      <c r="D774" s="188"/>
      <c r="E774" s="741" t="s">
        <v>872</v>
      </c>
      <c r="F774" s="153">
        <f>SUM(F766:F773)</f>
        <v>6355.16</v>
      </c>
      <c r="G774" s="260"/>
      <c r="H774" s="260"/>
      <c r="I774" s="260"/>
      <c r="J774" s="369"/>
    </row>
    <row r="775" spans="1:10" s="130" customFormat="1" ht="12.75" hidden="1" customHeight="1" thickTop="1" thickBot="1" x14ac:dyDescent="0.25">
      <c r="A775" s="253"/>
      <c r="B775" s="789" t="s">
        <v>931</v>
      </c>
      <c r="C775" s="255">
        <v>4.99</v>
      </c>
      <c r="D775" s="256" t="s">
        <v>435</v>
      </c>
      <c r="E775" s="257" t="s">
        <v>424</v>
      </c>
      <c r="F775" s="793">
        <f>F774/C775</f>
        <v>1273.5791583166331</v>
      </c>
      <c r="G775" s="260"/>
      <c r="H775" s="260"/>
      <c r="I775" s="260"/>
      <c r="J775" s="369"/>
    </row>
    <row r="776" spans="1:10" s="130" customFormat="1" ht="12.75" customHeight="1" x14ac:dyDescent="0.2">
      <c r="C776" s="177"/>
      <c r="D776" s="69"/>
      <c r="E776" s="177"/>
      <c r="F776" s="177"/>
      <c r="G776" s="260"/>
      <c r="H776" s="260"/>
      <c r="I776" s="260">
        <f>39.9/4.99</f>
        <v>7.9959919839679356</v>
      </c>
      <c r="J776" s="369"/>
    </row>
    <row r="777" spans="1:10" s="130" customFormat="1" ht="12.75" customHeight="1" x14ac:dyDescent="0.2">
      <c r="C777" s="177"/>
      <c r="D777" s="69"/>
      <c r="E777" s="177"/>
      <c r="F777" s="177"/>
      <c r="G777" s="260"/>
      <c r="H777" s="260"/>
      <c r="I777" s="260"/>
      <c r="J777" s="369"/>
    </row>
    <row r="778" spans="1:10" s="130" customFormat="1" ht="12.75" customHeight="1" thickBot="1" x14ac:dyDescent="0.25">
      <c r="B778" s="794" t="s">
        <v>932</v>
      </c>
      <c r="C778" s="795">
        <v>128</v>
      </c>
      <c r="D778" s="796" t="s">
        <v>867</v>
      </c>
      <c r="E778" s="795"/>
      <c r="F778" s="795"/>
      <c r="G778" s="260"/>
      <c r="H778" s="260"/>
      <c r="I778" s="260"/>
      <c r="J778" s="369"/>
    </row>
    <row r="779" spans="1:10" s="130" customFormat="1" ht="12.75" customHeight="1" thickTop="1" x14ac:dyDescent="0.2">
      <c r="A779" s="134"/>
      <c r="B779" s="797"/>
      <c r="C779" s="798" t="s">
        <v>7</v>
      </c>
      <c r="D779" s="798" t="s">
        <v>933</v>
      </c>
      <c r="E779" s="798" t="s">
        <v>934</v>
      </c>
      <c r="F779" s="799" t="s">
        <v>935</v>
      </c>
      <c r="G779" s="260"/>
      <c r="H779" s="260"/>
      <c r="I779" s="260"/>
      <c r="J779" s="369"/>
    </row>
    <row r="780" spans="1:10" s="130" customFormat="1" ht="12.75" customHeight="1" x14ac:dyDescent="0.2">
      <c r="A780" s="126"/>
      <c r="B780" s="800" t="s">
        <v>936</v>
      </c>
      <c r="C780" s="801">
        <v>1</v>
      </c>
      <c r="D780" s="802" t="s">
        <v>937</v>
      </c>
      <c r="E780" s="803">
        <v>3539.37</v>
      </c>
      <c r="F780" s="804">
        <f>E780*C780</f>
        <v>3539.37</v>
      </c>
      <c r="G780" s="260"/>
      <c r="H780" s="260"/>
      <c r="I780" s="260"/>
      <c r="J780" s="369"/>
    </row>
    <row r="781" spans="1:10" s="130" customFormat="1" ht="12.75" customHeight="1" x14ac:dyDescent="0.2">
      <c r="A781" s="126"/>
      <c r="B781" s="805" t="s">
        <v>938</v>
      </c>
      <c r="C781" s="806">
        <v>5.12</v>
      </c>
      <c r="D781" s="807" t="s">
        <v>939</v>
      </c>
      <c r="E781" s="806">
        <f>F32*F35</f>
        <v>153.30149999999998</v>
      </c>
      <c r="F781" s="808">
        <f>+E781*C781</f>
        <v>784.90367999999989</v>
      </c>
      <c r="G781" s="260"/>
      <c r="H781" s="260"/>
      <c r="I781" s="260"/>
      <c r="J781" s="369"/>
    </row>
    <row r="782" spans="1:10" s="130" customFormat="1" ht="12.75" customHeight="1" x14ac:dyDescent="0.2">
      <c r="A782" s="126"/>
      <c r="B782" s="805" t="s">
        <v>940</v>
      </c>
      <c r="C782" s="806">
        <v>0.2</v>
      </c>
      <c r="D782" s="807" t="s">
        <v>941</v>
      </c>
      <c r="E782" s="806">
        <f>F781</f>
        <v>784.90367999999989</v>
      </c>
      <c r="F782" s="808">
        <f>+E782*C782</f>
        <v>156.98073599999998</v>
      </c>
      <c r="G782" s="260"/>
      <c r="H782" s="260"/>
      <c r="I782" s="260"/>
      <c r="J782" s="369"/>
    </row>
    <row r="783" spans="1:10" s="130" customFormat="1" ht="12.75" customHeight="1" x14ac:dyDescent="0.2">
      <c r="A783" s="126"/>
      <c r="B783" s="800" t="s">
        <v>942</v>
      </c>
      <c r="C783" s="801">
        <v>1</v>
      </c>
      <c r="D783" s="802" t="s">
        <v>937</v>
      </c>
      <c r="E783" s="803">
        <v>81.25</v>
      </c>
      <c r="F783" s="804">
        <f>+E783*C783</f>
        <v>81.25</v>
      </c>
      <c r="G783" s="260"/>
      <c r="H783" s="260"/>
      <c r="I783" s="260">
        <v>1300</v>
      </c>
      <c r="J783" s="369">
        <f>I783/8</f>
        <v>162.5</v>
      </c>
    </row>
    <row r="784" spans="1:10" s="130" customFormat="1" ht="12.75" customHeight="1" x14ac:dyDescent="0.2">
      <c r="A784" s="126"/>
      <c r="B784" s="800" t="s">
        <v>943</v>
      </c>
      <c r="C784" s="801">
        <v>1</v>
      </c>
      <c r="D784" s="802" t="s">
        <v>944</v>
      </c>
      <c r="E784" s="809">
        <v>500</v>
      </c>
      <c r="F784" s="804">
        <f>+E784*C784</f>
        <v>500</v>
      </c>
      <c r="G784" s="260"/>
      <c r="H784" s="260">
        <v>1175.24</v>
      </c>
      <c r="I784" s="260">
        <v>800</v>
      </c>
      <c r="J784" s="369">
        <f>I784/8</f>
        <v>100</v>
      </c>
    </row>
    <row r="785" spans="1:24" s="130" customFormat="1" ht="12.75" customHeight="1" x14ac:dyDescent="0.2">
      <c r="A785" s="126"/>
      <c r="B785" s="810"/>
      <c r="C785" s="811"/>
      <c r="D785" s="812"/>
      <c r="E785" s="813" t="s">
        <v>945</v>
      </c>
      <c r="F785" s="814">
        <f>SUM(F780:F784)</f>
        <v>5062.5044159999998</v>
      </c>
      <c r="G785" s="260"/>
      <c r="H785" s="260"/>
      <c r="I785" s="260">
        <v>1200</v>
      </c>
      <c r="J785" s="369">
        <f>I785/8</f>
        <v>150</v>
      </c>
    </row>
    <row r="786" spans="1:24" s="130" customFormat="1" ht="12.75" customHeight="1" x14ac:dyDescent="0.2">
      <c r="A786" s="126"/>
      <c r="B786" s="815" t="s">
        <v>420</v>
      </c>
      <c r="C786" s="816">
        <v>40</v>
      </c>
      <c r="D786" s="817"/>
      <c r="E786" s="818" t="s">
        <v>946</v>
      </c>
      <c r="F786" s="819">
        <f>ROUND(F785/C786,2)</f>
        <v>126.56</v>
      </c>
      <c r="G786" s="260"/>
      <c r="H786" s="260"/>
      <c r="I786" s="260"/>
      <c r="J786" s="369">
        <f>SUM(J783:J785)</f>
        <v>412.5</v>
      </c>
    </row>
    <row r="787" spans="1:24" s="130" customFormat="1" ht="12.75" customHeight="1" thickBot="1" x14ac:dyDescent="0.25">
      <c r="A787" s="142"/>
      <c r="B787" s="820"/>
      <c r="C787" s="821"/>
      <c r="D787" s="821"/>
      <c r="E787" s="822" t="s">
        <v>947</v>
      </c>
      <c r="F787" s="823">
        <f>+F786*1.45</f>
        <v>183.512</v>
      </c>
      <c r="G787" s="260"/>
      <c r="H787" s="260"/>
      <c r="I787" s="260"/>
      <c r="J787" s="369"/>
    </row>
    <row r="788" spans="1:24" s="130" customFormat="1" ht="12.75" customHeight="1" thickTop="1" x14ac:dyDescent="0.2">
      <c r="A788" s="824"/>
      <c r="B788" s="825"/>
      <c r="C788" s="825"/>
      <c r="D788" s="826"/>
      <c r="E788" s="827"/>
      <c r="F788" s="828"/>
      <c r="G788" s="260"/>
      <c r="H788" s="260"/>
      <c r="I788" s="260"/>
      <c r="J788" s="369"/>
    </row>
    <row r="789" spans="1:24" s="130" customFormat="1" ht="12.75" customHeight="1" x14ac:dyDescent="0.2">
      <c r="C789" s="177"/>
      <c r="D789" s="69"/>
      <c r="E789" s="177"/>
      <c r="F789" s="177"/>
      <c r="G789" s="260"/>
      <c r="H789" s="260"/>
      <c r="I789" s="260"/>
      <c r="J789" s="369"/>
      <c r="N789" s="829">
        <f>F790</f>
        <v>58.527099999999997</v>
      </c>
    </row>
    <row r="790" spans="1:24" s="130" customFormat="1" ht="12.75" customHeight="1" thickBot="1" x14ac:dyDescent="0.25">
      <c r="B790" s="196" t="s">
        <v>948</v>
      </c>
      <c r="C790" s="177"/>
      <c r="D790" s="69"/>
      <c r="E790" s="830" t="s">
        <v>949</v>
      </c>
      <c r="F790" s="831">
        <f>F44</f>
        <v>58.527099999999997</v>
      </c>
      <c r="G790" s="260"/>
      <c r="H790" s="260"/>
      <c r="I790" s="260"/>
      <c r="J790" s="369"/>
      <c r="M790" s="130">
        <v>86.34</v>
      </c>
      <c r="N790" s="130">
        <f>M790*N789</f>
        <v>5053.2298140000003</v>
      </c>
      <c r="R790" s="261" t="s">
        <v>950</v>
      </c>
      <c r="S790" s="261" t="s">
        <v>951</v>
      </c>
      <c r="T790" s="261" t="s">
        <v>952</v>
      </c>
      <c r="U790" s="261" t="s">
        <v>953</v>
      </c>
      <c r="V790" s="261" t="s">
        <v>954</v>
      </c>
      <c r="W790" s="261" t="s">
        <v>955</v>
      </c>
    </row>
    <row r="791" spans="1:24" s="130" customFormat="1" ht="12.75" customHeight="1" thickTop="1" x14ac:dyDescent="0.2">
      <c r="A791" s="134"/>
      <c r="B791" s="735" t="e">
        <f>LOOKUP(E791,W794:W795,T794:T795)</f>
        <v>#N/A</v>
      </c>
      <c r="C791" s="92">
        <v>1</v>
      </c>
      <c r="D791" s="249" t="s">
        <v>374</v>
      </c>
      <c r="E791" s="92">
        <v>887.08124999999984</v>
      </c>
      <c r="F791" s="334">
        <f>ROUND(C791*E791,2)</f>
        <v>887.08</v>
      </c>
      <c r="G791" s="260"/>
      <c r="H791" s="260"/>
      <c r="I791" s="260"/>
      <c r="J791" s="369"/>
      <c r="M791" s="130">
        <v>32.94</v>
      </c>
      <c r="N791" s="130">
        <f>M791*N789</f>
        <v>1927.8826739999997</v>
      </c>
      <c r="P791" s="726" t="s">
        <v>956</v>
      </c>
      <c r="R791" s="260">
        <f>N790</f>
        <v>5053.2298140000003</v>
      </c>
      <c r="S791" s="260">
        <f>N791</f>
        <v>1927.8826739999997</v>
      </c>
      <c r="T791" s="260">
        <f>N792</f>
        <v>215.96499899999998</v>
      </c>
      <c r="U791" s="260">
        <f>N793</f>
        <v>215.96499899999998</v>
      </c>
      <c r="V791" s="260">
        <f>SUM(R791:U791)</f>
        <v>7413.0424859999994</v>
      </c>
      <c r="W791" s="260">
        <f>V791/8</f>
        <v>926.63031074999992</v>
      </c>
      <c r="X791" s="726" t="s">
        <v>956</v>
      </c>
    </row>
    <row r="792" spans="1:24" s="130" customFormat="1" ht="12.75" customHeight="1" x14ac:dyDescent="0.2">
      <c r="A792" s="126"/>
      <c r="B792" s="737" t="s">
        <v>869</v>
      </c>
      <c r="C792" s="98">
        <v>2</v>
      </c>
      <c r="D792" s="250" t="s">
        <v>870</v>
      </c>
      <c r="E792" s="98">
        <f>F32*F35</f>
        <v>153.30149999999998</v>
      </c>
      <c r="F792" s="335">
        <f>ROUND(C792*E792,2)</f>
        <v>306.60000000000002</v>
      </c>
      <c r="G792" s="260"/>
      <c r="H792" s="260"/>
      <c r="I792" s="260"/>
      <c r="J792" s="369"/>
      <c r="M792" s="130">
        <v>3.69</v>
      </c>
      <c r="N792" s="130">
        <f>M792*N789</f>
        <v>215.96499899999998</v>
      </c>
      <c r="P792" s="726" t="s">
        <v>957</v>
      </c>
      <c r="R792" s="260">
        <v>3669.45</v>
      </c>
      <c r="S792" s="260">
        <f>S791*2</f>
        <v>3855.7653479999994</v>
      </c>
      <c r="T792" s="260">
        <f>T791*2</f>
        <v>431.92999799999996</v>
      </c>
      <c r="U792" s="260">
        <f>U791*2</f>
        <v>431.92999799999996</v>
      </c>
      <c r="V792" s="260">
        <f>SUM(R792:U792)</f>
        <v>8389.0753439999989</v>
      </c>
      <c r="W792" s="260">
        <f>V792/8</f>
        <v>1048.6344179999999</v>
      </c>
      <c r="X792" s="726" t="s">
        <v>957</v>
      </c>
    </row>
    <row r="793" spans="1:24" s="130" customFormat="1" ht="12.75" customHeight="1" x14ac:dyDescent="0.2">
      <c r="A793" s="126"/>
      <c r="B793" s="737" t="s">
        <v>871</v>
      </c>
      <c r="C793" s="98">
        <v>20</v>
      </c>
      <c r="D793" s="250" t="s">
        <v>234</v>
      </c>
      <c r="E793" s="98">
        <f>F792</f>
        <v>306.60000000000002</v>
      </c>
      <c r="F793" s="335">
        <f>ROUND(C793*E793,2)/100</f>
        <v>61.32</v>
      </c>
      <c r="G793" s="260"/>
      <c r="H793" s="260"/>
      <c r="I793" s="260"/>
      <c r="J793" s="369"/>
      <c r="M793" s="130">
        <v>3.69</v>
      </c>
      <c r="N793" s="130">
        <f>M793*N789</f>
        <v>215.96499899999998</v>
      </c>
    </row>
    <row r="794" spans="1:24" s="130" customFormat="1" ht="12.75" customHeight="1" x14ac:dyDescent="0.2">
      <c r="A794" s="126"/>
      <c r="B794" s="198" t="s">
        <v>958</v>
      </c>
      <c r="C794" s="98">
        <v>1</v>
      </c>
      <c r="D794" s="250" t="s">
        <v>374</v>
      </c>
      <c r="E794" s="98">
        <v>225</v>
      </c>
      <c r="F794" s="335">
        <f>ROUND(C794*E794,2)</f>
        <v>225</v>
      </c>
      <c r="G794" s="260"/>
      <c r="H794" s="260">
        <f>H752*2</f>
        <v>162.5</v>
      </c>
      <c r="I794" s="260"/>
      <c r="J794" s="369"/>
      <c r="T794" s="726" t="s">
        <v>956</v>
      </c>
      <c r="W794" s="260">
        <f>W791</f>
        <v>926.63031074999992</v>
      </c>
    </row>
    <row r="795" spans="1:24" s="130" customFormat="1" ht="12.75" customHeight="1" x14ac:dyDescent="0.2">
      <c r="A795" s="126"/>
      <c r="B795" s="198" t="s">
        <v>959</v>
      </c>
      <c r="C795" s="98">
        <v>1</v>
      </c>
      <c r="D795" s="250" t="s">
        <v>374</v>
      </c>
      <c r="E795" s="98">
        <f>(F42/8)*2</f>
        <v>164.75</v>
      </c>
      <c r="F795" s="335">
        <f>ROUND(C795*E795,2)</f>
        <v>164.75</v>
      </c>
      <c r="G795" s="260"/>
      <c r="H795" s="260"/>
      <c r="I795" s="260"/>
      <c r="J795" s="369"/>
      <c r="T795" s="726" t="s">
        <v>957</v>
      </c>
      <c r="W795" s="260">
        <f>W792</f>
        <v>1048.6344179999999</v>
      </c>
    </row>
    <row r="796" spans="1:24" s="130" customFormat="1" ht="12.75" customHeight="1" x14ac:dyDescent="0.2">
      <c r="A796" s="126"/>
      <c r="B796" s="737" t="s">
        <v>960</v>
      </c>
      <c r="C796" s="98">
        <v>1</v>
      </c>
      <c r="D796" s="250" t="s">
        <v>374</v>
      </c>
      <c r="E796" s="98">
        <v>81.25</v>
      </c>
      <c r="F796" s="335">
        <f>ROUND(C796*E796,2)</f>
        <v>81.25</v>
      </c>
      <c r="G796" s="260"/>
      <c r="H796" s="260"/>
      <c r="I796" s="260"/>
      <c r="J796" s="369"/>
    </row>
    <row r="797" spans="1:24" s="130" customFormat="1" ht="12.75" customHeight="1" x14ac:dyDescent="0.2">
      <c r="A797" s="126"/>
      <c r="B797" s="198" t="s">
        <v>961</v>
      </c>
      <c r="C797" s="98">
        <v>1</v>
      </c>
      <c r="D797" s="250" t="s">
        <v>374</v>
      </c>
      <c r="E797" s="98">
        <v>24.15</v>
      </c>
      <c r="F797" s="335">
        <f>ROUND(C797*E797,2)</f>
        <v>24.15</v>
      </c>
      <c r="G797" s="260"/>
      <c r="H797" s="260"/>
      <c r="I797" s="260"/>
      <c r="J797" s="369"/>
    </row>
    <row r="798" spans="1:24" s="130" customFormat="1" ht="12.75" customHeight="1" thickBot="1" x14ac:dyDescent="0.25">
      <c r="A798" s="142"/>
      <c r="B798" s="421"/>
      <c r="C798" s="146"/>
      <c r="D798" s="188"/>
      <c r="E798" s="741" t="s">
        <v>872</v>
      </c>
      <c r="F798" s="153">
        <f>SUM(F791:F797)</f>
        <v>1750.15</v>
      </c>
      <c r="G798" s="260"/>
      <c r="H798" s="260"/>
      <c r="I798" s="260"/>
      <c r="J798" s="369"/>
    </row>
    <row r="799" spans="1:24" s="130" customFormat="1" ht="12.75" customHeight="1" thickTop="1" x14ac:dyDescent="0.2">
      <c r="A799" s="134"/>
      <c r="B799" s="832" t="s">
        <v>962</v>
      </c>
      <c r="C799" s="92">
        <v>0.66</v>
      </c>
      <c r="D799" s="249" t="s">
        <v>435</v>
      </c>
      <c r="E799" s="596" t="s">
        <v>424</v>
      </c>
      <c r="F799" s="782">
        <f>F798/C799</f>
        <v>2651.7424242424245</v>
      </c>
      <c r="G799" s="260"/>
      <c r="H799" s="260"/>
      <c r="I799" s="260"/>
      <c r="J799" s="369"/>
    </row>
    <row r="800" spans="1:24" s="130" customFormat="1" ht="12.75" customHeight="1" thickBot="1" x14ac:dyDescent="0.25">
      <c r="A800" s="142"/>
      <c r="B800" s="757" t="s">
        <v>963</v>
      </c>
      <c r="C800" s="833">
        <v>0.64</v>
      </c>
      <c r="D800" s="188" t="s">
        <v>435</v>
      </c>
      <c r="E800" s="236" t="s">
        <v>424</v>
      </c>
      <c r="F800" s="758">
        <f>F798/C800</f>
        <v>2734.609375</v>
      </c>
      <c r="G800" s="260"/>
      <c r="H800" s="260"/>
      <c r="I800" s="260"/>
      <c r="J800" s="369"/>
    </row>
    <row r="801" spans="1:11" s="130" customFormat="1" ht="12.75" customHeight="1" thickTop="1" x14ac:dyDescent="0.2">
      <c r="C801" s="177"/>
      <c r="D801" s="69"/>
      <c r="E801" s="177"/>
      <c r="F801" s="177"/>
      <c r="G801" s="260"/>
      <c r="H801" s="260"/>
      <c r="I801" s="260"/>
      <c r="J801" s="369"/>
    </row>
    <row r="802" spans="1:11" s="130" customFormat="1" ht="12.75" customHeight="1" thickBot="1" x14ac:dyDescent="0.25">
      <c r="B802" s="727" t="s">
        <v>964</v>
      </c>
      <c r="C802" s="177"/>
      <c r="D802" s="69"/>
      <c r="E802" s="177"/>
      <c r="F802" s="177"/>
      <c r="G802" s="260"/>
      <c r="H802" s="260"/>
      <c r="I802" s="260"/>
      <c r="J802" s="369"/>
    </row>
    <row r="803" spans="1:11" s="130" customFormat="1" ht="12.75" customHeight="1" thickTop="1" x14ac:dyDescent="0.2">
      <c r="A803" s="134"/>
      <c r="B803" s="197" t="s">
        <v>965</v>
      </c>
      <c r="C803" s="92">
        <v>1</v>
      </c>
      <c r="D803" s="249" t="s">
        <v>374</v>
      </c>
      <c r="E803" s="92">
        <f>F36/8</f>
        <v>247.125</v>
      </c>
      <c r="F803" s="334">
        <f>ROUND(C803*E803,2)</f>
        <v>247.13</v>
      </c>
      <c r="G803" s="260"/>
      <c r="H803" s="260"/>
      <c r="I803" s="260"/>
      <c r="J803" s="369"/>
    </row>
    <row r="804" spans="1:11" s="130" customFormat="1" ht="12.75" customHeight="1" x14ac:dyDescent="0.2">
      <c r="A804" s="126"/>
      <c r="B804" s="198" t="s">
        <v>966</v>
      </c>
      <c r="C804" s="98">
        <v>1</v>
      </c>
      <c r="D804" s="250" t="s">
        <v>374</v>
      </c>
      <c r="E804" s="98">
        <f>(F42/8)*G804</f>
        <v>823.75</v>
      </c>
      <c r="F804" s="335">
        <f>ROUND(C804*E804,2)</f>
        <v>823.75</v>
      </c>
      <c r="G804" s="834">
        <v>10</v>
      </c>
      <c r="H804" s="260"/>
      <c r="I804" s="260"/>
      <c r="J804" s="369"/>
    </row>
    <row r="805" spans="1:11" s="130" customFormat="1" ht="12.75" customHeight="1" x14ac:dyDescent="0.2">
      <c r="A805" s="126"/>
      <c r="B805" s="198" t="s">
        <v>846</v>
      </c>
      <c r="C805" s="98">
        <v>3</v>
      </c>
      <c r="D805" s="250" t="s">
        <v>234</v>
      </c>
      <c r="E805" s="98">
        <f>(F804)</f>
        <v>823.75</v>
      </c>
      <c r="F805" s="335">
        <f>ROUND(C805*E805,2)/100</f>
        <v>24.712499999999999</v>
      </c>
      <c r="G805" s="260"/>
      <c r="H805" s="260"/>
      <c r="I805" s="260"/>
      <c r="J805" s="369"/>
    </row>
    <row r="806" spans="1:11" s="130" customFormat="1" ht="12.75" customHeight="1" thickBot="1" x14ac:dyDescent="0.25">
      <c r="A806" s="142"/>
      <c r="B806" s="421"/>
      <c r="C806" s="146"/>
      <c r="D806" s="188"/>
      <c r="E806" s="741" t="s">
        <v>872</v>
      </c>
      <c r="F806" s="636">
        <f>SUM(F803:F805)</f>
        <v>1095.5925000000002</v>
      </c>
      <c r="G806" s="260"/>
      <c r="H806" s="260"/>
      <c r="I806" s="260"/>
      <c r="J806" s="369"/>
    </row>
    <row r="807" spans="1:11" s="130" customFormat="1" ht="12.75" customHeight="1" thickTop="1" x14ac:dyDescent="0.2">
      <c r="A807" s="134"/>
      <c r="B807" s="832" t="s">
        <v>893</v>
      </c>
      <c r="C807" s="92">
        <v>4.13</v>
      </c>
      <c r="D807" s="249" t="s">
        <v>435</v>
      </c>
      <c r="E807" s="596" t="s">
        <v>424</v>
      </c>
      <c r="F807" s="835">
        <f>ROUND($F$806/C807,2)</f>
        <v>265.27999999999997</v>
      </c>
      <c r="G807" s="260"/>
      <c r="H807" s="260"/>
      <c r="I807" s="260"/>
      <c r="J807" s="369"/>
    </row>
    <row r="808" spans="1:11" s="130" customFormat="1" ht="12.75" customHeight="1" x14ac:dyDescent="0.2">
      <c r="A808" s="777"/>
      <c r="B808" s="229" t="s">
        <v>967</v>
      </c>
      <c r="C808" s="265">
        <v>3.32</v>
      </c>
      <c r="D808" s="250" t="s">
        <v>435</v>
      </c>
      <c r="E808" s="763" t="s">
        <v>424</v>
      </c>
      <c r="F808" s="836">
        <f>ROUND($F$806/C808,2)</f>
        <v>330</v>
      </c>
      <c r="G808" s="260"/>
      <c r="H808" s="260"/>
      <c r="I808" s="260"/>
      <c r="J808" s="369"/>
      <c r="K808" s="130">
        <f>20/8</f>
        <v>2.5</v>
      </c>
    </row>
    <row r="809" spans="1:11" s="130" customFormat="1" ht="12.75" customHeight="1" x14ac:dyDescent="0.2">
      <c r="A809" s="777"/>
      <c r="B809" s="229" t="s">
        <v>968</v>
      </c>
      <c r="C809" s="265">
        <v>2.27</v>
      </c>
      <c r="D809" s="250" t="s">
        <v>435</v>
      </c>
      <c r="E809" s="763" t="s">
        <v>424</v>
      </c>
      <c r="F809" s="836">
        <f t="shared" ref="F809:F820" si="20">ROUND($F$806/C809,2)</f>
        <v>482.64</v>
      </c>
      <c r="G809" s="260"/>
      <c r="H809" s="260"/>
      <c r="I809" s="260"/>
      <c r="J809" s="369"/>
    </row>
    <row r="810" spans="1:11" s="130" customFormat="1" ht="12.75" customHeight="1" x14ac:dyDescent="0.2">
      <c r="A810" s="126"/>
      <c r="B810" s="229" t="s">
        <v>894</v>
      </c>
      <c r="C810" s="98">
        <v>3.26</v>
      </c>
      <c r="D810" s="250" t="s">
        <v>435</v>
      </c>
      <c r="E810" s="763" t="s">
        <v>424</v>
      </c>
      <c r="F810" s="836">
        <f t="shared" si="20"/>
        <v>336.07</v>
      </c>
      <c r="G810" s="260"/>
      <c r="H810" s="260"/>
      <c r="I810" s="260"/>
      <c r="J810" s="369"/>
    </row>
    <row r="811" spans="1:11" s="130" customFormat="1" ht="12.75" customHeight="1" x14ac:dyDescent="0.2">
      <c r="A811" s="126"/>
      <c r="B811" s="229" t="s">
        <v>969</v>
      </c>
      <c r="C811" s="98">
        <v>2.8</v>
      </c>
      <c r="D811" s="250" t="s">
        <v>435</v>
      </c>
      <c r="E811" s="763" t="s">
        <v>424</v>
      </c>
      <c r="F811" s="836">
        <f t="shared" si="20"/>
        <v>391.28</v>
      </c>
      <c r="G811" s="260"/>
      <c r="H811" s="260"/>
      <c r="I811" s="260"/>
      <c r="J811" s="369"/>
    </row>
    <row r="812" spans="1:11" s="130" customFormat="1" ht="12.75" customHeight="1" x14ac:dyDescent="0.2">
      <c r="A812" s="126"/>
      <c r="B812" s="229" t="s">
        <v>970</v>
      </c>
      <c r="C812" s="98">
        <v>1.65</v>
      </c>
      <c r="D812" s="250" t="s">
        <v>435</v>
      </c>
      <c r="E812" s="763" t="s">
        <v>424</v>
      </c>
      <c r="F812" s="836">
        <f t="shared" si="20"/>
        <v>664</v>
      </c>
      <c r="G812" s="260"/>
      <c r="H812" s="260"/>
      <c r="I812" s="260"/>
      <c r="J812" s="369"/>
    </row>
    <row r="813" spans="1:11" s="130" customFormat="1" ht="12.75" customHeight="1" x14ac:dyDescent="0.2">
      <c r="A813" s="126"/>
      <c r="B813" s="229" t="s">
        <v>971</v>
      </c>
      <c r="C813" s="98">
        <v>1.63</v>
      </c>
      <c r="D813" s="250" t="s">
        <v>435</v>
      </c>
      <c r="E813" s="763" t="s">
        <v>424</v>
      </c>
      <c r="F813" s="836">
        <f t="shared" si="20"/>
        <v>672.14</v>
      </c>
      <c r="G813" s="260"/>
      <c r="H813" s="260"/>
      <c r="I813" s="260"/>
      <c r="J813" s="369"/>
    </row>
    <row r="814" spans="1:11" s="130" customFormat="1" ht="12.75" customHeight="1" x14ac:dyDescent="0.2">
      <c r="A814" s="126"/>
      <c r="B814" s="229" t="s">
        <v>962</v>
      </c>
      <c r="C814" s="98">
        <v>0.95</v>
      </c>
      <c r="D814" s="250" t="s">
        <v>435</v>
      </c>
      <c r="E814" s="763" t="s">
        <v>424</v>
      </c>
      <c r="F814" s="836">
        <f t="shared" si="20"/>
        <v>1153.26</v>
      </c>
      <c r="G814" s="260"/>
      <c r="H814" s="260"/>
      <c r="I814" s="260"/>
      <c r="J814" s="369"/>
      <c r="K814" s="130">
        <f>162.5</f>
        <v>162.5</v>
      </c>
    </row>
    <row r="815" spans="1:11" s="130" customFormat="1" ht="12.75" customHeight="1" x14ac:dyDescent="0.2">
      <c r="A815" s="126"/>
      <c r="B815" s="229" t="s">
        <v>898</v>
      </c>
      <c r="C815" s="98">
        <v>2.65</v>
      </c>
      <c r="D815" s="250" t="s">
        <v>435</v>
      </c>
      <c r="E815" s="763" t="s">
        <v>424</v>
      </c>
      <c r="F815" s="836">
        <f t="shared" si="20"/>
        <v>413.43</v>
      </c>
      <c r="G815" s="260"/>
      <c r="H815" s="260"/>
      <c r="I815" s="260"/>
      <c r="J815" s="369"/>
    </row>
    <row r="816" spans="1:11" s="130" customFormat="1" ht="12.75" customHeight="1" x14ac:dyDescent="0.2">
      <c r="A816" s="126"/>
      <c r="B816" s="229" t="s">
        <v>972</v>
      </c>
      <c r="C816" s="98">
        <v>2.95</v>
      </c>
      <c r="D816" s="250" t="s">
        <v>435</v>
      </c>
      <c r="E816" s="763" t="s">
        <v>424</v>
      </c>
      <c r="F816" s="836">
        <f t="shared" si="20"/>
        <v>371.39</v>
      </c>
      <c r="G816" s="260"/>
      <c r="H816" s="260"/>
      <c r="I816" s="260"/>
      <c r="J816" s="369"/>
      <c r="K816" s="130">
        <f>K814/8</f>
        <v>20.3125</v>
      </c>
    </row>
    <row r="817" spans="1:11" s="130" customFormat="1" ht="12.75" customHeight="1" x14ac:dyDescent="0.2">
      <c r="A817" s="126"/>
      <c r="B817" s="229" t="s">
        <v>973</v>
      </c>
      <c r="C817" s="98">
        <v>2.8</v>
      </c>
      <c r="D817" s="250" t="s">
        <v>435</v>
      </c>
      <c r="E817" s="763" t="s">
        <v>424</v>
      </c>
      <c r="F817" s="836">
        <f t="shared" si="20"/>
        <v>391.28</v>
      </c>
      <c r="G817" s="260"/>
      <c r="H817" s="260"/>
      <c r="I817" s="260"/>
      <c r="J817" s="369"/>
    </row>
    <row r="818" spans="1:11" s="130" customFormat="1" ht="12.75" customHeight="1" x14ac:dyDescent="0.2">
      <c r="A818" s="126"/>
      <c r="B818" s="229" t="s">
        <v>974</v>
      </c>
      <c r="C818" s="98">
        <v>1.68</v>
      </c>
      <c r="D818" s="250" t="s">
        <v>435</v>
      </c>
      <c r="E818" s="763" t="s">
        <v>424</v>
      </c>
      <c r="F818" s="836">
        <f t="shared" si="20"/>
        <v>652.14</v>
      </c>
      <c r="G818" s="260"/>
      <c r="H818" s="260"/>
      <c r="I818" s="260"/>
      <c r="J818" s="369"/>
    </row>
    <row r="819" spans="1:11" s="130" customFormat="1" ht="12.75" customHeight="1" x14ac:dyDescent="0.2">
      <c r="A819" s="414"/>
      <c r="B819" s="753" t="s">
        <v>975</v>
      </c>
      <c r="C819" s="106">
        <v>1.3</v>
      </c>
      <c r="D819" s="455" t="s">
        <v>435</v>
      </c>
      <c r="E819" s="786" t="s">
        <v>424</v>
      </c>
      <c r="F819" s="836">
        <f t="shared" si="20"/>
        <v>842.76</v>
      </c>
      <c r="G819" s="260"/>
      <c r="H819" s="260"/>
      <c r="I819" s="260"/>
      <c r="J819" s="369"/>
    </row>
    <row r="820" spans="1:11" s="130" customFormat="1" ht="12.75" customHeight="1" x14ac:dyDescent="0.2">
      <c r="A820" s="414"/>
      <c r="B820" s="753" t="s">
        <v>976</v>
      </c>
      <c r="C820" s="106">
        <f>21.5/8</f>
        <v>2.6875</v>
      </c>
      <c r="D820" s="455" t="s">
        <v>435</v>
      </c>
      <c r="E820" s="786" t="s">
        <v>424</v>
      </c>
      <c r="F820" s="836">
        <f t="shared" si="20"/>
        <v>407.66</v>
      </c>
      <c r="G820" s="260"/>
      <c r="H820" s="260"/>
      <c r="I820" s="260"/>
      <c r="J820" s="369"/>
    </row>
    <row r="821" spans="1:11" s="130" customFormat="1" ht="12.75" customHeight="1" thickBot="1" x14ac:dyDescent="0.25">
      <c r="A821" s="142"/>
      <c r="B821" s="757" t="s">
        <v>977</v>
      </c>
      <c r="C821" s="833">
        <v>20.309999999999999</v>
      </c>
      <c r="D821" s="188" t="s">
        <v>880</v>
      </c>
      <c r="E821" s="768" t="s">
        <v>751</v>
      </c>
      <c r="F821" s="758">
        <f>ROUND(F806/C821,2)</f>
        <v>53.94</v>
      </c>
      <c r="G821" s="260"/>
      <c r="H821" s="260">
        <f>C821*8</f>
        <v>162.47999999999999</v>
      </c>
      <c r="I821" s="260"/>
      <c r="J821" s="369"/>
    </row>
    <row r="822" spans="1:11" s="130" customFormat="1" ht="12.75" customHeight="1" thickTop="1" x14ac:dyDescent="0.2">
      <c r="C822" s="177"/>
      <c r="D822" s="69"/>
      <c r="E822" s="177"/>
      <c r="F822" s="177"/>
      <c r="G822" s="260"/>
      <c r="H822" s="260"/>
      <c r="I822" s="260"/>
      <c r="J822" s="369"/>
    </row>
    <row r="823" spans="1:11" s="130" customFormat="1" ht="12.75" customHeight="1" x14ac:dyDescent="0.2">
      <c r="B823" s="727" t="s">
        <v>978</v>
      </c>
      <c r="C823" s="177"/>
      <c r="D823" s="69"/>
      <c r="E823" s="177"/>
      <c r="F823" s="177"/>
      <c r="G823" s="260"/>
      <c r="H823" s="260"/>
      <c r="I823" s="260"/>
      <c r="J823" s="369"/>
      <c r="K823" s="260"/>
    </row>
    <row r="824" spans="1:11" s="130" customFormat="1" ht="12.75" customHeight="1" thickBot="1" x14ac:dyDescent="0.25">
      <c r="B824" s="731" t="s">
        <v>979</v>
      </c>
      <c r="C824" s="732">
        <v>300</v>
      </c>
      <c r="D824" s="261" t="s">
        <v>867</v>
      </c>
      <c r="E824" s="734"/>
      <c r="F824" s="729"/>
      <c r="G824" s="260"/>
      <c r="H824" s="260"/>
      <c r="I824" s="260"/>
      <c r="J824" s="369"/>
      <c r="K824" s="260"/>
    </row>
    <row r="825" spans="1:11" s="130" customFormat="1" ht="12.75" customHeight="1" thickTop="1" x14ac:dyDescent="0.2">
      <c r="A825" s="134"/>
      <c r="B825" s="735" t="s">
        <v>980</v>
      </c>
      <c r="C825" s="736">
        <v>1</v>
      </c>
      <c r="D825" s="249" t="s">
        <v>374</v>
      </c>
      <c r="E825" s="736">
        <v>4167.79</v>
      </c>
      <c r="F825" s="334">
        <f>ROUND(C825*E825,2)</f>
        <v>4167.79</v>
      </c>
      <c r="G825" s="260"/>
      <c r="H825" s="260"/>
      <c r="I825" s="260"/>
      <c r="J825" s="369"/>
      <c r="K825" s="260"/>
    </row>
    <row r="826" spans="1:11" s="130" customFormat="1" ht="12.75" customHeight="1" x14ac:dyDescent="0.2">
      <c r="A826" s="126"/>
      <c r="B826" s="737" t="s">
        <v>869</v>
      </c>
      <c r="C826" s="427">
        <v>12</v>
      </c>
      <c r="D826" s="250" t="s">
        <v>870</v>
      </c>
      <c r="E826" s="427">
        <f>F32*F35</f>
        <v>153.30149999999998</v>
      </c>
      <c r="F826" s="335">
        <f>ROUND(C826*E826,2)</f>
        <v>1839.62</v>
      </c>
      <c r="G826" s="260"/>
      <c r="H826" s="260">
        <v>1300</v>
      </c>
      <c r="I826" s="260"/>
      <c r="J826" s="369"/>
      <c r="K826" s="260"/>
    </row>
    <row r="827" spans="1:11" s="130" customFormat="1" ht="12.75" customHeight="1" x14ac:dyDescent="0.2">
      <c r="A827" s="126"/>
      <c r="B827" s="737" t="s">
        <v>871</v>
      </c>
      <c r="C827" s="427">
        <v>20</v>
      </c>
      <c r="D827" s="250" t="s">
        <v>234</v>
      </c>
      <c r="E827" s="427">
        <f>F826</f>
        <v>1839.62</v>
      </c>
      <c r="F827" s="335">
        <f>ROUND(C827*E827,2)/100</f>
        <v>367.92400000000004</v>
      </c>
      <c r="G827" s="260"/>
      <c r="H827" s="260">
        <f>H826/8</f>
        <v>162.5</v>
      </c>
      <c r="I827" s="260">
        <f>300*0.04</f>
        <v>12</v>
      </c>
      <c r="J827" s="369"/>
    </row>
    <row r="828" spans="1:11" s="130" customFormat="1" ht="12.75" customHeight="1" x14ac:dyDescent="0.2">
      <c r="A828" s="126"/>
      <c r="B828" s="737" t="s">
        <v>892</v>
      </c>
      <c r="C828" s="427">
        <v>1</v>
      </c>
      <c r="D828" s="250" t="s">
        <v>374</v>
      </c>
      <c r="E828" s="427">
        <v>162.5</v>
      </c>
      <c r="F828" s="335">
        <f>ROUND(C828*E828,2)</f>
        <v>162.5</v>
      </c>
      <c r="G828" s="260"/>
      <c r="H828" s="260"/>
      <c r="I828" s="260"/>
      <c r="J828" s="369"/>
    </row>
    <row r="829" spans="1:11" s="130" customFormat="1" ht="12.75" customHeight="1" thickBot="1" x14ac:dyDescent="0.25">
      <c r="A829" s="414"/>
      <c r="B829" s="837"/>
      <c r="C829" s="838"/>
      <c r="D829" s="837"/>
      <c r="E829" s="839" t="s">
        <v>872</v>
      </c>
      <c r="F829" s="840">
        <f>SUM(F825:F828)</f>
        <v>6537.8339999999998</v>
      </c>
      <c r="G829" s="260"/>
      <c r="H829" s="260"/>
      <c r="I829" s="260"/>
      <c r="J829" s="369"/>
    </row>
    <row r="830" spans="1:11" s="130" customFormat="1" ht="12.75" customHeight="1" thickTop="1" x14ac:dyDescent="0.2">
      <c r="A830" s="134"/>
      <c r="B830" s="832" t="s">
        <v>981</v>
      </c>
      <c r="C830" s="137">
        <v>120</v>
      </c>
      <c r="D830" s="249" t="s">
        <v>435</v>
      </c>
      <c r="E830" s="596" t="s">
        <v>424</v>
      </c>
      <c r="F830" s="841">
        <f>F829/C830</f>
        <v>54.481949999999998</v>
      </c>
      <c r="G830" s="260"/>
      <c r="H830" s="260"/>
      <c r="I830" s="260"/>
      <c r="J830" s="369"/>
    </row>
    <row r="831" spans="1:11" s="130" customFormat="1" ht="12.75" customHeight="1" thickBot="1" x14ac:dyDescent="0.25">
      <c r="A831" s="142"/>
      <c r="B831" s="757" t="s">
        <v>982</v>
      </c>
      <c r="C831" s="146">
        <v>335.7</v>
      </c>
      <c r="D831" s="188" t="s">
        <v>435</v>
      </c>
      <c r="E831" s="236" t="s">
        <v>424</v>
      </c>
      <c r="F831" s="842">
        <f>F829/C831</f>
        <v>19.475227882037533</v>
      </c>
      <c r="G831" s="260"/>
      <c r="H831" s="260"/>
      <c r="I831" s="260"/>
      <c r="J831" s="369"/>
    </row>
    <row r="832" spans="1:11" s="130" customFormat="1" ht="12.75" customHeight="1" thickTop="1" x14ac:dyDescent="0.2">
      <c r="C832" s="177"/>
      <c r="D832" s="69"/>
      <c r="E832" s="177"/>
      <c r="F832" s="177"/>
      <c r="G832" s="260"/>
      <c r="H832" s="260"/>
      <c r="I832" s="260"/>
      <c r="J832" s="369"/>
    </row>
    <row r="833" spans="1:11" s="130" customFormat="1" ht="12.75" customHeight="1" thickBot="1" x14ac:dyDescent="0.25">
      <c r="B833" s="731" t="s">
        <v>983</v>
      </c>
      <c r="C833" s="732">
        <v>310</v>
      </c>
      <c r="D833" s="261" t="s">
        <v>867</v>
      </c>
      <c r="E833" s="734"/>
      <c r="F833" s="729"/>
      <c r="G833" s="260"/>
      <c r="H833" s="260"/>
      <c r="I833" s="260"/>
      <c r="J833" s="369"/>
    </row>
    <row r="834" spans="1:11" s="130" customFormat="1" ht="12.75" customHeight="1" thickTop="1" x14ac:dyDescent="0.2">
      <c r="A834" s="134"/>
      <c r="B834" s="735" t="s">
        <v>980</v>
      </c>
      <c r="C834" s="736">
        <v>1</v>
      </c>
      <c r="D834" s="249" t="s">
        <v>374</v>
      </c>
      <c r="E834" s="736">
        <v>6380</v>
      </c>
      <c r="F834" s="334">
        <f>ROUND(C834*E834,2)</f>
        <v>6380</v>
      </c>
      <c r="G834" s="260"/>
      <c r="H834" s="260"/>
      <c r="I834" s="260"/>
      <c r="J834" s="369"/>
    </row>
    <row r="835" spans="1:11" s="130" customFormat="1" ht="12.75" customHeight="1" x14ac:dyDescent="0.2">
      <c r="A835" s="126"/>
      <c r="B835" s="737" t="s">
        <v>869</v>
      </c>
      <c r="C835" s="427">
        <v>12.4</v>
      </c>
      <c r="D835" s="250" t="s">
        <v>870</v>
      </c>
      <c r="E835" s="427">
        <f>F32*F35</f>
        <v>153.30149999999998</v>
      </c>
      <c r="F835" s="335">
        <f>ROUND(C835*E835,2)</f>
        <v>1900.94</v>
      </c>
      <c r="G835" s="260"/>
      <c r="H835" s="260"/>
      <c r="I835" s="260">
        <f>310*0.04</f>
        <v>12.4</v>
      </c>
      <c r="J835" s="369"/>
    </row>
    <row r="836" spans="1:11" s="130" customFormat="1" ht="12.75" customHeight="1" x14ac:dyDescent="0.2">
      <c r="A836" s="126"/>
      <c r="B836" s="737" t="s">
        <v>871</v>
      </c>
      <c r="C836" s="427">
        <v>20</v>
      </c>
      <c r="D836" s="250" t="s">
        <v>234</v>
      </c>
      <c r="E836" s="427">
        <f>F835</f>
        <v>1900.94</v>
      </c>
      <c r="F836" s="335">
        <f>ROUND(C836*E836,2)/100</f>
        <v>380.18800000000005</v>
      </c>
      <c r="G836" s="260"/>
      <c r="H836" s="260"/>
      <c r="I836" s="260"/>
      <c r="J836" s="369"/>
    </row>
    <row r="837" spans="1:11" s="130" customFormat="1" ht="12.75" customHeight="1" x14ac:dyDescent="0.2">
      <c r="A837" s="126"/>
      <c r="B837" s="737" t="s">
        <v>892</v>
      </c>
      <c r="C837" s="427">
        <v>1</v>
      </c>
      <c r="D837" s="250" t="s">
        <v>374</v>
      </c>
      <c r="E837" s="427">
        <v>162.5</v>
      </c>
      <c r="F837" s="335">
        <f>ROUND(C837*E837,2)</f>
        <v>162.5</v>
      </c>
      <c r="G837" s="260"/>
      <c r="H837" s="260"/>
      <c r="I837" s="260"/>
      <c r="J837" s="369"/>
    </row>
    <row r="838" spans="1:11" s="130" customFormat="1" ht="12.75" customHeight="1" thickBot="1" x14ac:dyDescent="0.25">
      <c r="A838" s="142"/>
      <c r="B838" s="739"/>
      <c r="C838" s="740"/>
      <c r="E838" s="741" t="s">
        <v>872</v>
      </c>
      <c r="F838" s="742">
        <f>SUM(F834:F837)</f>
        <v>8823.6280000000006</v>
      </c>
      <c r="G838" s="260"/>
      <c r="H838" s="260"/>
      <c r="I838" s="260"/>
      <c r="J838" s="369"/>
    </row>
    <row r="839" spans="1:11" s="130" customFormat="1" ht="12.75" customHeight="1" thickTop="1" x14ac:dyDescent="0.2">
      <c r="B839" s="843"/>
      <c r="C839" s="194"/>
      <c r="D839" s="844"/>
      <c r="E839" s="177"/>
      <c r="F839" s="177"/>
      <c r="G839" s="260"/>
      <c r="H839" s="260"/>
      <c r="I839" s="260"/>
      <c r="J839" s="369"/>
    </row>
    <row r="840" spans="1:11" s="130" customFormat="1" ht="12.75" customHeight="1" thickBot="1" x14ac:dyDescent="0.25">
      <c r="B840" s="731" t="s">
        <v>984</v>
      </c>
      <c r="C840" s="732">
        <v>140</v>
      </c>
      <c r="D840" s="261" t="s">
        <v>867</v>
      </c>
      <c r="E840" s="734"/>
      <c r="F840" s="729"/>
      <c r="G840" s="260"/>
      <c r="H840" s="260"/>
      <c r="I840" s="260"/>
      <c r="J840" s="369"/>
    </row>
    <row r="841" spans="1:11" s="130" customFormat="1" ht="12.75" customHeight="1" thickTop="1" x14ac:dyDescent="0.2">
      <c r="A841" s="134"/>
      <c r="B841" s="735" t="s">
        <v>980</v>
      </c>
      <c r="C841" s="736">
        <v>1</v>
      </c>
      <c r="D841" s="249" t="s">
        <v>374</v>
      </c>
      <c r="E841" s="736">
        <v>2026.22</v>
      </c>
      <c r="F841" s="334">
        <f>ROUND(C841*E841,2)</f>
        <v>2026.22</v>
      </c>
      <c r="G841" s="260"/>
      <c r="H841" s="260"/>
      <c r="I841" s="260">
        <v>130</v>
      </c>
      <c r="J841" s="369"/>
    </row>
    <row r="842" spans="1:11" s="130" customFormat="1" ht="12.75" customHeight="1" x14ac:dyDescent="0.2">
      <c r="A842" s="126"/>
      <c r="B842" s="737" t="s">
        <v>869</v>
      </c>
      <c r="C842" s="427">
        <v>5.6</v>
      </c>
      <c r="D842" s="250" t="s">
        <v>870</v>
      </c>
      <c r="E842" s="427">
        <f>F32*F35</f>
        <v>153.30149999999998</v>
      </c>
      <c r="F842" s="335">
        <f>ROUND(C842*E842,2)</f>
        <v>858.49</v>
      </c>
      <c r="G842" s="260"/>
      <c r="H842" s="260"/>
      <c r="I842" s="260">
        <f>I841*0.04</f>
        <v>5.2</v>
      </c>
      <c r="J842" s="369"/>
    </row>
    <row r="843" spans="1:11" s="130" customFormat="1" ht="12.75" customHeight="1" x14ac:dyDescent="0.2">
      <c r="A843" s="126"/>
      <c r="B843" s="737" t="s">
        <v>871</v>
      </c>
      <c r="C843" s="427">
        <v>20</v>
      </c>
      <c r="D843" s="250" t="s">
        <v>234</v>
      </c>
      <c r="E843" s="427">
        <f>F842</f>
        <v>858.49</v>
      </c>
      <c r="F843" s="335">
        <f>ROUND(C843*E843,2)/100</f>
        <v>171.69799999999998</v>
      </c>
      <c r="G843" s="260"/>
      <c r="H843" s="260"/>
      <c r="I843" s="260"/>
      <c r="J843" s="369"/>
    </row>
    <row r="844" spans="1:11" s="130" customFormat="1" ht="12.75" customHeight="1" x14ac:dyDescent="0.2">
      <c r="A844" s="126"/>
      <c r="B844" s="737" t="s">
        <v>892</v>
      </c>
      <c r="C844" s="427">
        <v>1</v>
      </c>
      <c r="D844" s="250" t="s">
        <v>374</v>
      </c>
      <c r="E844" s="427">
        <v>162.5</v>
      </c>
      <c r="F844" s="335">
        <f>ROUND(C844*E844,2)</f>
        <v>162.5</v>
      </c>
      <c r="G844" s="260"/>
      <c r="H844" s="260"/>
      <c r="I844" s="260"/>
      <c r="J844" s="369"/>
    </row>
    <row r="845" spans="1:11" s="130" customFormat="1" ht="12.75" customHeight="1" thickBot="1" x14ac:dyDescent="0.25">
      <c r="A845" s="142"/>
      <c r="B845" s="739"/>
      <c r="C845" s="740"/>
      <c r="D845" s="739"/>
      <c r="E845" s="741" t="s">
        <v>872</v>
      </c>
      <c r="F845" s="742">
        <f>SUM(F841:F844)</f>
        <v>3218.9079999999999</v>
      </c>
      <c r="G845" s="260"/>
      <c r="H845" s="260"/>
      <c r="I845" s="260"/>
      <c r="J845" s="369"/>
    </row>
    <row r="846" spans="1:11" s="130" customFormat="1" ht="12.75" customHeight="1" thickTop="1" x14ac:dyDescent="0.2">
      <c r="C846" s="177"/>
      <c r="D846" s="69"/>
      <c r="E846" s="177"/>
      <c r="F846" s="177"/>
      <c r="G846" s="260"/>
      <c r="H846" s="260"/>
      <c r="I846" s="260"/>
      <c r="J846" s="369"/>
      <c r="K846" s="260"/>
    </row>
    <row r="847" spans="1:11" s="130" customFormat="1" ht="12.75" customHeight="1" x14ac:dyDescent="0.2">
      <c r="C847" s="177"/>
      <c r="D847" s="69"/>
      <c r="E847" s="177"/>
      <c r="F847" s="177"/>
      <c r="G847" s="260"/>
      <c r="H847" s="260"/>
      <c r="I847" s="260"/>
      <c r="J847" s="369"/>
    </row>
    <row r="848" spans="1:11" s="130" customFormat="1" ht="12.75" customHeight="1" x14ac:dyDescent="0.2">
      <c r="B848" s="727" t="s">
        <v>985</v>
      </c>
      <c r="C848" s="177"/>
      <c r="D848" s="69"/>
      <c r="E848" s="177"/>
      <c r="F848" s="177"/>
      <c r="G848" s="260"/>
      <c r="H848" s="260"/>
      <c r="I848" s="260"/>
      <c r="J848" s="369"/>
    </row>
    <row r="849" spans="1:14" s="130" customFormat="1" ht="12.75" customHeight="1" thickBot="1" x14ac:dyDescent="0.25">
      <c r="B849" s="731" t="s">
        <v>986</v>
      </c>
      <c r="C849" s="732">
        <v>125</v>
      </c>
      <c r="D849" s="261" t="s">
        <v>867</v>
      </c>
      <c r="E849" s="734"/>
      <c r="F849" s="729"/>
      <c r="G849" s="260"/>
      <c r="H849" s="260"/>
      <c r="I849" s="260"/>
      <c r="J849" s="369"/>
    </row>
    <row r="850" spans="1:14" s="130" customFormat="1" ht="12.75" customHeight="1" thickTop="1" x14ac:dyDescent="0.2">
      <c r="A850" s="134"/>
      <c r="B850" s="735" t="s">
        <v>987</v>
      </c>
      <c r="C850" s="736">
        <v>1</v>
      </c>
      <c r="D850" s="249" t="s">
        <v>374</v>
      </c>
      <c r="E850" s="736">
        <v>1843.81</v>
      </c>
      <c r="F850" s="334">
        <f>ROUND(C850*E850,2)</f>
        <v>1843.81</v>
      </c>
      <c r="G850" s="260"/>
      <c r="H850" s="260"/>
      <c r="I850" s="260"/>
      <c r="J850" s="369"/>
    </row>
    <row r="851" spans="1:14" s="130" customFormat="1" ht="12.75" customHeight="1" x14ac:dyDescent="0.2">
      <c r="A851" s="126"/>
      <c r="B851" s="737" t="s">
        <v>869</v>
      </c>
      <c r="C851" s="427">
        <v>5</v>
      </c>
      <c r="D851" s="250" t="s">
        <v>870</v>
      </c>
      <c r="E851" s="427">
        <f>F32*F35</f>
        <v>153.30149999999998</v>
      </c>
      <c r="F851" s="335">
        <f>ROUND(C851*E851,2)</f>
        <v>766.51</v>
      </c>
      <c r="G851" s="260"/>
      <c r="H851" s="260"/>
      <c r="I851" s="260"/>
      <c r="J851" s="369"/>
    </row>
    <row r="852" spans="1:14" s="130" customFormat="1" ht="12.75" customHeight="1" x14ac:dyDescent="0.2">
      <c r="A852" s="126"/>
      <c r="B852" s="737" t="s">
        <v>871</v>
      </c>
      <c r="C852" s="427">
        <v>20</v>
      </c>
      <c r="D852" s="250" t="s">
        <v>234</v>
      </c>
      <c r="E852" s="427">
        <f>F851</f>
        <v>766.51</v>
      </c>
      <c r="F852" s="335">
        <f>ROUND(C852*E852,2)/100</f>
        <v>153.30200000000002</v>
      </c>
      <c r="G852" s="260"/>
      <c r="H852" s="260"/>
      <c r="I852" s="260"/>
      <c r="J852" s="369"/>
    </row>
    <row r="853" spans="1:14" s="130" customFormat="1" ht="12.75" customHeight="1" x14ac:dyDescent="0.2">
      <c r="A853" s="126"/>
      <c r="B853" s="737" t="s">
        <v>892</v>
      </c>
      <c r="C853" s="427">
        <v>1</v>
      </c>
      <c r="D853" s="250" t="s">
        <v>374</v>
      </c>
      <c r="E853" s="427">
        <v>162.5</v>
      </c>
      <c r="F853" s="335">
        <f>ROUND(C853*E853,2)</f>
        <v>162.5</v>
      </c>
      <c r="G853" s="260"/>
      <c r="H853" s="260"/>
      <c r="I853" s="260"/>
      <c r="J853" s="369"/>
    </row>
    <row r="854" spans="1:14" s="130" customFormat="1" ht="12.75" customHeight="1" thickBot="1" x14ac:dyDescent="0.25">
      <c r="A854" s="142"/>
      <c r="B854" s="739"/>
      <c r="C854" s="740"/>
      <c r="D854" s="739"/>
      <c r="E854" s="741" t="s">
        <v>872</v>
      </c>
      <c r="F854" s="742">
        <f>SUM(F850:F853)</f>
        <v>2926.1219999999998</v>
      </c>
      <c r="G854" s="260"/>
      <c r="H854" s="260"/>
      <c r="I854" s="260"/>
      <c r="J854" s="369"/>
    </row>
    <row r="855" spans="1:14" s="130" customFormat="1" ht="12.75" customHeight="1" thickTop="1" x14ac:dyDescent="0.2">
      <c r="A855" s="134"/>
      <c r="B855" s="832" t="s">
        <v>988</v>
      </c>
      <c r="C855" s="137">
        <v>80</v>
      </c>
      <c r="D855" s="249" t="s">
        <v>435</v>
      </c>
      <c r="E855" s="596" t="s">
        <v>424</v>
      </c>
      <c r="F855" s="835">
        <f>$F$854/C855</f>
        <v>36.576524999999997</v>
      </c>
      <c r="G855" s="260"/>
      <c r="H855" s="260"/>
      <c r="I855" s="260"/>
      <c r="J855" s="260"/>
    </row>
    <row r="856" spans="1:14" s="130" customFormat="1" ht="12.75" customHeight="1" x14ac:dyDescent="0.2">
      <c r="A856" s="414"/>
      <c r="B856" s="753" t="s">
        <v>989</v>
      </c>
      <c r="C856" s="458">
        <v>112.5</v>
      </c>
      <c r="D856" s="455" t="s">
        <v>435</v>
      </c>
      <c r="E856" s="786" t="s">
        <v>424</v>
      </c>
      <c r="F856" s="845">
        <f>$F$854/C856</f>
        <v>26.009973333333331</v>
      </c>
      <c r="G856" s="260"/>
      <c r="H856" s="260"/>
      <c r="I856" s="260"/>
      <c r="J856" s="369"/>
    </row>
    <row r="857" spans="1:14" s="130" customFormat="1" ht="12.75" customHeight="1" x14ac:dyDescent="0.2">
      <c r="A857" s="414"/>
      <c r="B857" s="753" t="s">
        <v>990</v>
      </c>
      <c r="C857" s="458">
        <v>110</v>
      </c>
      <c r="D857" s="455" t="s">
        <v>435</v>
      </c>
      <c r="E857" s="786" t="s">
        <v>424</v>
      </c>
      <c r="F857" s="845">
        <f>$F$854/C857</f>
        <v>26.601109090909091</v>
      </c>
      <c r="G857" s="260"/>
      <c r="H857" s="260"/>
      <c r="I857" s="260"/>
      <c r="J857" s="369"/>
      <c r="L857" s="260"/>
    </row>
    <row r="858" spans="1:14" s="130" customFormat="1" ht="12.75" customHeight="1" thickBot="1" x14ac:dyDescent="0.25">
      <c r="A858" s="414"/>
      <c r="B858" s="753" t="s">
        <v>991</v>
      </c>
      <c r="C858" s="107">
        <v>0.21060000000000001</v>
      </c>
      <c r="D858" s="455" t="s">
        <v>992</v>
      </c>
      <c r="E858" s="786" t="s">
        <v>765</v>
      </c>
      <c r="F858" s="845">
        <f>((F854+((F42/8)*6))/C858)/1000</f>
        <v>16.241082621082619</v>
      </c>
      <c r="G858" s="260"/>
      <c r="H858" s="260"/>
      <c r="I858" s="260"/>
      <c r="J858" s="369"/>
      <c r="L858" s="260"/>
      <c r="M858" s="260"/>
      <c r="N858" s="260"/>
    </row>
    <row r="859" spans="1:14" s="130" customFormat="1" ht="12.75" customHeight="1" thickTop="1" x14ac:dyDescent="0.2">
      <c r="A859" s="87"/>
      <c r="B859" s="843"/>
      <c r="C859" s="846"/>
      <c r="D859" s="844"/>
      <c r="E859" s="847"/>
      <c r="F859" s="848"/>
      <c r="G859" s="260"/>
      <c r="H859" s="260"/>
      <c r="I859" s="260"/>
      <c r="J859" s="369">
        <f>168.01</f>
        <v>168.01</v>
      </c>
      <c r="L859" s="260"/>
      <c r="M859" s="260"/>
      <c r="N859" s="260"/>
    </row>
    <row r="860" spans="1:14" s="130" customFormat="1" ht="12.75" customHeight="1" x14ac:dyDescent="0.2">
      <c r="B860" s="727" t="s">
        <v>993</v>
      </c>
      <c r="C860" s="177"/>
      <c r="D860" s="69"/>
      <c r="E860" s="177"/>
      <c r="F860" s="177"/>
      <c r="G860" s="260"/>
      <c r="H860" s="260"/>
      <c r="I860" s="260"/>
      <c r="J860" s="369"/>
      <c r="N860" s="260"/>
    </row>
    <row r="861" spans="1:14" s="130" customFormat="1" ht="12.75" customHeight="1" x14ac:dyDescent="0.2">
      <c r="C861" s="177"/>
      <c r="D861" s="69"/>
      <c r="E861" s="177"/>
      <c r="F861" s="177"/>
      <c r="G861" s="260"/>
      <c r="H861" s="260"/>
      <c r="I861" s="260"/>
      <c r="J861" s="369"/>
    </row>
    <row r="862" spans="1:14" s="130" customFormat="1" ht="12.75" customHeight="1" thickBot="1" x14ac:dyDescent="0.25">
      <c r="B862" s="731" t="s">
        <v>994</v>
      </c>
      <c r="C862" s="732">
        <v>130</v>
      </c>
      <c r="D862" s="261" t="s">
        <v>867</v>
      </c>
      <c r="E862" s="734"/>
      <c r="F862" s="729"/>
      <c r="G862" s="260"/>
      <c r="H862" s="260"/>
      <c r="I862" s="260"/>
      <c r="J862" s="369"/>
    </row>
    <row r="863" spans="1:14" s="130" customFormat="1" ht="12.75" customHeight="1" thickTop="1" x14ac:dyDescent="0.2">
      <c r="A863" s="134"/>
      <c r="B863" s="735" t="s">
        <v>995</v>
      </c>
      <c r="C863" s="736">
        <v>1</v>
      </c>
      <c r="D863" s="249" t="s">
        <v>374</v>
      </c>
      <c r="E863" s="736">
        <v>1932.36</v>
      </c>
      <c r="F863" s="334">
        <f>ROUND(C863*E863,2)</f>
        <v>1932.36</v>
      </c>
      <c r="G863" s="260"/>
      <c r="H863" s="260"/>
      <c r="I863" s="260"/>
      <c r="J863" s="369"/>
    </row>
    <row r="864" spans="1:14" s="130" customFormat="1" ht="12.75" customHeight="1" x14ac:dyDescent="0.2">
      <c r="A864" s="126"/>
      <c r="B864" s="737" t="s">
        <v>869</v>
      </c>
      <c r="C864" s="427">
        <v>5.2</v>
      </c>
      <c r="D864" s="250" t="s">
        <v>870</v>
      </c>
      <c r="E864" s="427">
        <f>F32*F35</f>
        <v>153.30149999999998</v>
      </c>
      <c r="F864" s="335">
        <f>ROUND(C864*E864,2)</f>
        <v>797.17</v>
      </c>
      <c r="G864" s="260"/>
      <c r="H864" s="260"/>
      <c r="I864" s="260"/>
      <c r="J864" s="369"/>
    </row>
    <row r="865" spans="1:10" s="130" customFormat="1" ht="12.75" customHeight="1" x14ac:dyDescent="0.2">
      <c r="A865" s="126"/>
      <c r="B865" s="737" t="s">
        <v>871</v>
      </c>
      <c r="C865" s="427">
        <v>20</v>
      </c>
      <c r="D865" s="250" t="s">
        <v>234</v>
      </c>
      <c r="E865" s="427">
        <f>F864</f>
        <v>797.17</v>
      </c>
      <c r="F865" s="335">
        <f>ROUND(C865*E865,2)/100</f>
        <v>159.434</v>
      </c>
      <c r="G865" s="260"/>
      <c r="H865" s="260"/>
      <c r="I865" s="260"/>
      <c r="J865" s="369"/>
    </row>
    <row r="866" spans="1:10" s="130" customFormat="1" ht="12.75" customHeight="1" x14ac:dyDescent="0.2">
      <c r="A866" s="126"/>
      <c r="B866" s="737" t="s">
        <v>892</v>
      </c>
      <c r="C866" s="427">
        <v>1</v>
      </c>
      <c r="D866" s="250" t="s">
        <v>374</v>
      </c>
      <c r="E866" s="427">
        <v>162.5</v>
      </c>
      <c r="F866" s="335">
        <f>ROUND(C866*E866,2)</f>
        <v>162.5</v>
      </c>
      <c r="G866" s="260"/>
      <c r="H866" s="260"/>
      <c r="I866" s="260"/>
      <c r="J866" s="369"/>
    </row>
    <row r="867" spans="1:10" s="130" customFormat="1" ht="12.75" customHeight="1" thickBot="1" x14ac:dyDescent="0.25">
      <c r="A867" s="142"/>
      <c r="B867" s="739"/>
      <c r="C867" s="740"/>
      <c r="D867" s="739"/>
      <c r="E867" s="741" t="s">
        <v>872</v>
      </c>
      <c r="F867" s="742">
        <f>SUM(F863:F866)</f>
        <v>3051.4639999999999</v>
      </c>
      <c r="G867" s="260"/>
      <c r="H867" s="260"/>
      <c r="I867" s="260"/>
      <c r="J867" s="369"/>
    </row>
    <row r="868" spans="1:10" s="130" customFormat="1" ht="12.75" customHeight="1" thickTop="1" thickBot="1" x14ac:dyDescent="0.25">
      <c r="A868" s="253"/>
      <c r="B868" s="789" t="s">
        <v>996</v>
      </c>
      <c r="C868" s="255">
        <v>124.77</v>
      </c>
      <c r="D868" s="256" t="s">
        <v>435</v>
      </c>
      <c r="E868" s="849" t="s">
        <v>424</v>
      </c>
      <c r="F868" s="850">
        <f>ROUND($F$867/C868,2)</f>
        <v>24.46</v>
      </c>
      <c r="G868" s="260"/>
      <c r="H868" s="260"/>
      <c r="I868" s="260"/>
      <c r="J868" s="369"/>
    </row>
    <row r="869" spans="1:10" s="130" customFormat="1" ht="12.75" customHeight="1" thickTop="1" x14ac:dyDescent="0.2">
      <c r="C869" s="177"/>
      <c r="D869" s="69"/>
      <c r="E869" s="177"/>
      <c r="F869" s="177"/>
      <c r="G869" s="260"/>
      <c r="H869" s="260"/>
      <c r="I869" s="260">
        <v>124.77</v>
      </c>
      <c r="J869" s="369"/>
    </row>
    <row r="870" spans="1:10" s="130" customFormat="1" ht="12.75" customHeight="1" thickBot="1" x14ac:dyDescent="0.25">
      <c r="B870" s="727" t="s">
        <v>997</v>
      </c>
      <c r="C870" s="177"/>
      <c r="D870" s="69"/>
      <c r="E870" s="177"/>
      <c r="F870" s="177"/>
      <c r="G870" s="260"/>
      <c r="H870" s="260"/>
      <c r="I870" s="260"/>
      <c r="J870" s="369"/>
    </row>
    <row r="871" spans="1:10" s="130" customFormat="1" ht="13.5" customHeight="1" thickTop="1" thickBot="1" x14ac:dyDescent="0.25">
      <c r="A871" s="851"/>
      <c r="B871" s="851" t="str">
        <f>CONCATENATE("ACARREO C/CAMION @",C871," Km")</f>
        <v>ACARREO C/CAMION @5 Km</v>
      </c>
      <c r="C871" s="852">
        <v>5</v>
      </c>
      <c r="D871" s="853" t="s">
        <v>354</v>
      </c>
      <c r="E871" s="854">
        <f>F871/C871</f>
        <v>24.76</v>
      </c>
      <c r="F871" s="855">
        <f>IF(C871&lt;=5,C871*$E$47,IF(AND(C871&gt;5,C871&lt;=10),5*$E$47+(C871-5)*$E$48,IF(AND(C871&gt;10,C871&lt;=20),5*$E$47+5*$E$48+(C871-10)*$E$49,($E$47+$E$48)*5+$E$49*10+(C871-20)*$E$50)))</f>
        <v>123.80000000000001</v>
      </c>
      <c r="G871" s="260"/>
      <c r="H871" s="260"/>
      <c r="I871" s="260"/>
      <c r="J871" s="369"/>
    </row>
    <row r="872" spans="1:10" s="130" customFormat="1" ht="10.5" customHeight="1" thickTop="1" x14ac:dyDescent="0.2">
      <c r="C872" s="177"/>
      <c r="D872" s="69"/>
      <c r="E872" s="177"/>
      <c r="F872" s="177"/>
      <c r="G872" s="260"/>
      <c r="H872" s="260"/>
      <c r="I872" s="260"/>
      <c r="J872" s="369"/>
    </row>
    <row r="873" spans="1:10" s="130" customFormat="1" ht="12.75" customHeight="1" thickBot="1" x14ac:dyDescent="0.25">
      <c r="B873" s="727" t="s">
        <v>998</v>
      </c>
      <c r="C873" s="177"/>
      <c r="D873" s="69"/>
      <c r="E873" s="177"/>
      <c r="F873" s="177"/>
      <c r="G873" s="260"/>
      <c r="H873" s="260"/>
      <c r="I873" s="260"/>
      <c r="J873" s="369"/>
    </row>
    <row r="874" spans="1:10" s="130" customFormat="1" ht="13.5" customHeight="1" thickTop="1" thickBot="1" x14ac:dyDescent="0.25">
      <c r="A874" s="851"/>
      <c r="B874" s="851" t="str">
        <f>CONCATENATE("BOTE C/CAMION @",C871," Km")</f>
        <v>BOTE C/CAMION @5 Km</v>
      </c>
      <c r="C874" s="856">
        <v>1</v>
      </c>
      <c r="D874" s="853" t="s">
        <v>88</v>
      </c>
      <c r="E874" s="854">
        <f>F871+F868</f>
        <v>148.26000000000002</v>
      </c>
      <c r="F874" s="857">
        <f>ROUND(C874*E874,2)</f>
        <v>148.26</v>
      </c>
      <c r="G874" s="260"/>
      <c r="H874" s="260"/>
      <c r="I874" s="260"/>
      <c r="J874" s="369"/>
    </row>
    <row r="875" spans="1:10" s="130" customFormat="1" ht="9.75" customHeight="1" thickTop="1" x14ac:dyDescent="0.2">
      <c r="C875" s="177"/>
      <c r="D875" s="69"/>
      <c r="E875" s="177"/>
      <c r="F875" s="177"/>
      <c r="G875" s="260"/>
      <c r="H875" s="260"/>
      <c r="I875" s="260"/>
      <c r="J875" s="369"/>
    </row>
    <row r="876" spans="1:10" s="130" customFormat="1" ht="12.75" customHeight="1" thickBot="1" x14ac:dyDescent="0.25">
      <c r="B876" s="731" t="s">
        <v>999</v>
      </c>
      <c r="C876" s="177">
        <v>54</v>
      </c>
      <c r="D876" s="261" t="s">
        <v>867</v>
      </c>
      <c r="E876" s="177"/>
      <c r="F876" s="177"/>
      <c r="G876" s="260"/>
      <c r="H876" s="260"/>
      <c r="I876" s="260"/>
      <c r="J876" s="369"/>
    </row>
    <row r="877" spans="1:10" s="130" customFormat="1" ht="12.75" customHeight="1" thickTop="1" x14ac:dyDescent="0.2">
      <c r="A877" s="134"/>
      <c r="B877" s="735" t="s">
        <v>1000</v>
      </c>
      <c r="C877" s="736">
        <v>1</v>
      </c>
      <c r="D877" s="249" t="s">
        <v>374</v>
      </c>
      <c r="E877" s="736">
        <v>1032.5</v>
      </c>
      <c r="F877" s="334">
        <f>ROUND(C877*E877,2)</f>
        <v>1032.5</v>
      </c>
      <c r="G877" s="260"/>
      <c r="H877" s="260"/>
      <c r="I877" s="260"/>
      <c r="J877" s="369"/>
    </row>
    <row r="878" spans="1:10" s="130" customFormat="1" ht="12.75" customHeight="1" x14ac:dyDescent="0.2">
      <c r="A878" s="126"/>
      <c r="B878" s="737" t="s">
        <v>869</v>
      </c>
      <c r="C878" s="427">
        <v>2.16</v>
      </c>
      <c r="D878" s="250" t="s">
        <v>870</v>
      </c>
      <c r="E878" s="427">
        <f>F32*F35</f>
        <v>153.30149999999998</v>
      </c>
      <c r="F878" s="335">
        <f>ROUND(C878*E878,2)</f>
        <v>331.13</v>
      </c>
      <c r="G878" s="260"/>
      <c r="H878" s="260"/>
      <c r="I878" s="260"/>
      <c r="J878" s="369"/>
    </row>
    <row r="879" spans="1:10" s="130" customFormat="1" ht="12.75" customHeight="1" x14ac:dyDescent="0.2">
      <c r="A879" s="126"/>
      <c r="B879" s="737" t="s">
        <v>871</v>
      </c>
      <c r="C879" s="427">
        <v>20</v>
      </c>
      <c r="D879" s="250" t="s">
        <v>234</v>
      </c>
      <c r="E879" s="427">
        <f>F878</f>
        <v>331.13</v>
      </c>
      <c r="F879" s="335">
        <f>ROUND(C879*E879,2)/100</f>
        <v>66.225999999999999</v>
      </c>
      <c r="G879" s="260"/>
      <c r="H879" s="260"/>
      <c r="I879" s="260"/>
      <c r="J879" s="369"/>
    </row>
    <row r="880" spans="1:10" s="130" customFormat="1" ht="12.75" customHeight="1" x14ac:dyDescent="0.2">
      <c r="A880" s="126"/>
      <c r="B880" s="737" t="s">
        <v>1001</v>
      </c>
      <c r="C880" s="427">
        <v>1</v>
      </c>
      <c r="D880" s="250" t="s">
        <v>374</v>
      </c>
      <c r="E880" s="427">
        <f>'[29]LIST. MATER.'!E39</f>
        <v>113.93</v>
      </c>
      <c r="F880" s="335">
        <f>ROUND(C880*E880,2)</f>
        <v>113.93</v>
      </c>
      <c r="G880" s="260"/>
      <c r="H880" s="260"/>
      <c r="I880" s="260"/>
      <c r="J880" s="369"/>
    </row>
    <row r="881" spans="1:10" s="130" customFormat="1" ht="12.75" customHeight="1" thickBot="1" x14ac:dyDescent="0.25">
      <c r="A881" s="142"/>
      <c r="B881" s="739"/>
      <c r="C881" s="740"/>
      <c r="D881" s="739"/>
      <c r="E881" s="741" t="s">
        <v>872</v>
      </c>
      <c r="F881" s="742">
        <f>SUM(F877:F880)</f>
        <v>1543.7860000000003</v>
      </c>
      <c r="G881" s="260"/>
      <c r="H881" s="260"/>
      <c r="I881" s="260"/>
      <c r="J881" s="369"/>
    </row>
    <row r="882" spans="1:10" s="130" customFormat="1" ht="7.5" customHeight="1" thickTop="1" x14ac:dyDescent="0.2">
      <c r="C882" s="177"/>
      <c r="D882" s="69"/>
      <c r="E882" s="177"/>
      <c r="F882" s="177"/>
      <c r="G882" s="260"/>
      <c r="H882" s="260"/>
      <c r="I882" s="260"/>
      <c r="J882" s="369"/>
    </row>
    <row r="883" spans="1:10" s="130" customFormat="1" ht="9" customHeight="1" x14ac:dyDescent="0.2">
      <c r="C883" s="177"/>
      <c r="D883" s="69"/>
      <c r="E883" s="177"/>
      <c r="F883" s="177"/>
      <c r="G883" s="260"/>
      <c r="H883" s="260"/>
      <c r="I883" s="260"/>
      <c r="J883" s="369"/>
    </row>
    <row r="884" spans="1:10" s="130" customFormat="1" ht="12.75" customHeight="1" thickBot="1" x14ac:dyDescent="0.25">
      <c r="B884" s="731" t="s">
        <v>1002</v>
      </c>
      <c r="C884" s="177">
        <v>74</v>
      </c>
      <c r="D884" s="261" t="s">
        <v>867</v>
      </c>
      <c r="E884" s="830" t="s">
        <v>1003</v>
      </c>
      <c r="F884" s="831">
        <f>F44</f>
        <v>58.527099999999997</v>
      </c>
      <c r="G884" s="260"/>
      <c r="H884" s="260"/>
      <c r="I884" s="260"/>
      <c r="J884" s="369"/>
    </row>
    <row r="885" spans="1:10" s="130" customFormat="1" ht="12.75" customHeight="1" thickTop="1" x14ac:dyDescent="0.2">
      <c r="A885" s="134"/>
      <c r="B885" s="735" t="s">
        <v>1000</v>
      </c>
      <c r="C885" s="736">
        <v>1</v>
      </c>
      <c r="D885" s="249" t="s">
        <v>374</v>
      </c>
      <c r="E885" s="736">
        <f>((225*1.18)/8)*F884</f>
        <v>1942.3681312499998</v>
      </c>
      <c r="F885" s="334">
        <f>ROUND(C885*E885,2)</f>
        <v>1942.37</v>
      </c>
      <c r="G885" s="260"/>
      <c r="H885" s="260"/>
      <c r="I885" s="260"/>
      <c r="J885" s="369"/>
    </row>
    <row r="886" spans="1:10" s="130" customFormat="1" ht="12.75" customHeight="1" x14ac:dyDescent="0.2">
      <c r="A886" s="126"/>
      <c r="B886" s="737" t="s">
        <v>869</v>
      </c>
      <c r="C886" s="427">
        <v>2.96</v>
      </c>
      <c r="D886" s="250" t="s">
        <v>870</v>
      </c>
      <c r="E886" s="427">
        <f>F32*F35</f>
        <v>153.30149999999998</v>
      </c>
      <c r="F886" s="335">
        <f>ROUND(C886*E886,2)</f>
        <v>453.77</v>
      </c>
      <c r="G886" s="260"/>
      <c r="H886" s="260"/>
      <c r="I886" s="260"/>
      <c r="J886" s="369"/>
    </row>
    <row r="887" spans="1:10" s="130" customFormat="1" ht="12.75" customHeight="1" x14ac:dyDescent="0.2">
      <c r="A887" s="126"/>
      <c r="B887" s="737" t="s">
        <v>871</v>
      </c>
      <c r="C887" s="427">
        <v>20</v>
      </c>
      <c r="D887" s="250" t="s">
        <v>234</v>
      </c>
      <c r="E887" s="427">
        <f>F886</f>
        <v>453.77</v>
      </c>
      <c r="F887" s="335">
        <f>ROUND(C887*E887,2)/100</f>
        <v>90.753999999999991</v>
      </c>
      <c r="G887" s="260"/>
      <c r="H887" s="260"/>
      <c r="I887" s="260"/>
      <c r="J887" s="369"/>
    </row>
    <row r="888" spans="1:10" s="130" customFormat="1" ht="12.75" customHeight="1" x14ac:dyDescent="0.2">
      <c r="A888" s="126"/>
      <c r="B888" s="737" t="s">
        <v>1001</v>
      </c>
      <c r="C888" s="427">
        <v>1</v>
      </c>
      <c r="D888" s="250" t="s">
        <v>374</v>
      </c>
      <c r="E888" s="427">
        <f>'[29]LIST. MATER.'!E39</f>
        <v>113.93</v>
      </c>
      <c r="F888" s="335">
        <f>ROUND(C888*E888,2)</f>
        <v>113.93</v>
      </c>
      <c r="G888" s="260"/>
      <c r="H888" s="260"/>
      <c r="I888" s="260"/>
      <c r="J888" s="369"/>
    </row>
    <row r="889" spans="1:10" s="130" customFormat="1" ht="12.75" customHeight="1" thickBot="1" x14ac:dyDescent="0.25">
      <c r="A889" s="142"/>
      <c r="B889" s="739"/>
      <c r="C889" s="740"/>
      <c r="D889" s="739"/>
      <c r="E889" s="741" t="s">
        <v>872</v>
      </c>
      <c r="F889" s="742">
        <f>SUM(F885:F888)</f>
        <v>2600.8239999999996</v>
      </c>
      <c r="G889" s="260"/>
      <c r="H889" s="260"/>
      <c r="I889" s="260"/>
      <c r="J889" s="369"/>
    </row>
    <row r="890" spans="1:10" s="130" customFormat="1" ht="12.75" customHeight="1" thickTop="1" x14ac:dyDescent="0.2">
      <c r="C890" s="177"/>
      <c r="D890" s="69"/>
      <c r="E890" s="177"/>
      <c r="F890" s="177"/>
      <c r="G890" s="260"/>
      <c r="H890" s="260"/>
      <c r="I890" s="260"/>
      <c r="J890" s="369"/>
    </row>
    <row r="891" spans="1:10" s="130" customFormat="1" ht="12.75" customHeight="1" x14ac:dyDescent="0.2">
      <c r="C891" s="177"/>
      <c r="D891" s="69"/>
      <c r="E891" s="177"/>
      <c r="F891" s="177"/>
      <c r="G891" s="260"/>
      <c r="H891" s="260"/>
      <c r="I891" s="260"/>
      <c r="J891" s="369"/>
    </row>
    <row r="892" spans="1:10" s="130" customFormat="1" ht="12.75" customHeight="1" x14ac:dyDescent="0.2">
      <c r="B892" s="727" t="s">
        <v>1004</v>
      </c>
      <c r="C892" s="177"/>
      <c r="D892" s="69"/>
      <c r="E892" s="177"/>
      <c r="F892" s="177"/>
      <c r="G892" s="260"/>
      <c r="H892" s="260"/>
      <c r="I892" s="260"/>
      <c r="J892" s="369"/>
    </row>
    <row r="893" spans="1:10" s="130" customFormat="1" ht="12.75" customHeight="1" x14ac:dyDescent="0.2">
      <c r="C893" s="177"/>
      <c r="D893" s="69"/>
      <c r="E893" s="177"/>
      <c r="F893" s="177"/>
      <c r="G893" s="260"/>
      <c r="H893" s="260"/>
      <c r="I893" s="260"/>
      <c r="J893" s="369"/>
    </row>
    <row r="894" spans="1:10" s="130" customFormat="1" ht="12.75" customHeight="1" thickBot="1" x14ac:dyDescent="0.25">
      <c r="B894" s="731" t="s">
        <v>1005</v>
      </c>
      <c r="C894" s="732">
        <v>200</v>
      </c>
      <c r="D894" s="261" t="s">
        <v>867</v>
      </c>
      <c r="E894" s="734"/>
      <c r="F894" s="729"/>
      <c r="G894" s="260"/>
      <c r="H894" s="260"/>
      <c r="I894" s="260"/>
      <c r="J894" s="369"/>
    </row>
    <row r="895" spans="1:10" s="130" customFormat="1" ht="12.75" customHeight="1" thickTop="1" x14ac:dyDescent="0.2">
      <c r="A895" s="134"/>
      <c r="B895" s="735" t="s">
        <v>1006</v>
      </c>
      <c r="C895" s="736">
        <v>1</v>
      </c>
      <c r="D895" s="249" t="s">
        <v>374</v>
      </c>
      <c r="E895" s="736">
        <v>2746.52</v>
      </c>
      <c r="F895" s="334">
        <f>ROUND(C895*E895,2)</f>
        <v>2746.52</v>
      </c>
      <c r="G895" s="260"/>
      <c r="H895" s="260"/>
      <c r="I895" s="260">
        <f>200*0.04</f>
        <v>8</v>
      </c>
      <c r="J895" s="369"/>
    </row>
    <row r="896" spans="1:10" s="130" customFormat="1" ht="12.75" customHeight="1" x14ac:dyDescent="0.2">
      <c r="A896" s="126"/>
      <c r="B896" s="737" t="str">
        <f>"COMBUSTIBLE "&amp;MID(B32,13,14)</f>
        <v>COMBUSTIBLE (GAS-OIL REG.)</v>
      </c>
      <c r="C896" s="427">
        <v>8</v>
      </c>
      <c r="D896" s="250" t="s">
        <v>870</v>
      </c>
      <c r="E896" s="427">
        <f>F32*F35</f>
        <v>153.30149999999998</v>
      </c>
      <c r="F896" s="335">
        <f>ROUND(C896*E896,2)</f>
        <v>1226.4100000000001</v>
      </c>
      <c r="G896" s="260"/>
      <c r="H896" s="260"/>
      <c r="I896" s="260"/>
      <c r="J896" s="369"/>
    </row>
    <row r="897" spans="1:10" s="130" customFormat="1" ht="12.75" customHeight="1" x14ac:dyDescent="0.2">
      <c r="A897" s="126"/>
      <c r="B897" s="737" t="s">
        <v>871</v>
      </c>
      <c r="C897" s="427">
        <v>20</v>
      </c>
      <c r="D897" s="250" t="s">
        <v>234</v>
      </c>
      <c r="E897" s="427">
        <f>F896</f>
        <v>1226.4100000000001</v>
      </c>
      <c r="F897" s="335">
        <f>ROUND(C897*E897,2)/100</f>
        <v>245.28200000000001</v>
      </c>
      <c r="G897" s="260"/>
      <c r="H897" s="260"/>
      <c r="I897" s="260"/>
      <c r="J897" s="369"/>
    </row>
    <row r="898" spans="1:10" s="130" customFormat="1" ht="12.75" customHeight="1" x14ac:dyDescent="0.2">
      <c r="A898" s="126"/>
      <c r="B898" s="737" t="s">
        <v>892</v>
      </c>
      <c r="C898" s="427">
        <v>1</v>
      </c>
      <c r="D898" s="250" t="s">
        <v>374</v>
      </c>
      <c r="E898" s="427">
        <v>162.5</v>
      </c>
      <c r="F898" s="335">
        <f>ROUND(C898*E898,2)</f>
        <v>162.5</v>
      </c>
      <c r="G898" s="260"/>
      <c r="H898" s="260"/>
      <c r="I898" s="260"/>
      <c r="J898" s="369"/>
    </row>
    <row r="899" spans="1:10" s="130" customFormat="1" ht="12.75" customHeight="1" thickBot="1" x14ac:dyDescent="0.25">
      <c r="A899" s="414"/>
      <c r="B899" s="837"/>
      <c r="C899" s="838"/>
      <c r="D899" s="837"/>
      <c r="E899" s="839" t="s">
        <v>872</v>
      </c>
      <c r="F899" s="840">
        <f>SUM(F895:F898)</f>
        <v>4380.7120000000004</v>
      </c>
      <c r="G899" s="260"/>
      <c r="H899" s="260">
        <f>+F899*10</f>
        <v>43807.12</v>
      </c>
      <c r="I899" s="260"/>
      <c r="J899" s="369"/>
    </row>
    <row r="900" spans="1:10" s="130" customFormat="1" ht="12.75" customHeight="1" thickTop="1" thickBot="1" x14ac:dyDescent="0.25">
      <c r="A900" s="253"/>
      <c r="B900" s="789" t="s">
        <v>1007</v>
      </c>
      <c r="C900" s="255">
        <v>98.02</v>
      </c>
      <c r="D900" s="256" t="s">
        <v>435</v>
      </c>
      <c r="E900" s="858" t="s">
        <v>424</v>
      </c>
      <c r="F900" s="859">
        <f>$F$899/C900</f>
        <v>44.692022036319123</v>
      </c>
      <c r="G900" s="260"/>
      <c r="H900" s="260"/>
      <c r="I900" s="260"/>
      <c r="J900" s="369"/>
    </row>
    <row r="901" spans="1:10" s="130" customFormat="1" ht="12.75" customHeight="1" thickTop="1" x14ac:dyDescent="0.2">
      <c r="C901" s="177"/>
      <c r="D901" s="69"/>
      <c r="E901" s="177"/>
      <c r="F901" s="177"/>
      <c r="G901" s="260"/>
      <c r="H901" s="260"/>
      <c r="I901" s="260"/>
      <c r="J901" s="369"/>
    </row>
    <row r="902" spans="1:10" s="130" customFormat="1" ht="12.75" customHeight="1" thickBot="1" x14ac:dyDescent="0.25">
      <c r="B902" s="731" t="s">
        <v>1008</v>
      </c>
      <c r="C902" s="732">
        <v>21</v>
      </c>
      <c r="D902" s="261" t="s">
        <v>867</v>
      </c>
      <c r="E902" s="734"/>
      <c r="F902" s="729"/>
      <c r="G902" s="260"/>
      <c r="H902" s="260"/>
      <c r="I902" s="260"/>
      <c r="J902" s="369"/>
    </row>
    <row r="903" spans="1:10" s="130" customFormat="1" ht="12.75" customHeight="1" thickTop="1" x14ac:dyDescent="0.2">
      <c r="A903" s="134"/>
      <c r="B903" s="735" t="s">
        <v>1006</v>
      </c>
      <c r="C903" s="736">
        <v>1</v>
      </c>
      <c r="D903" s="249" t="s">
        <v>374</v>
      </c>
      <c r="E903" s="736">
        <v>1424.9</v>
      </c>
      <c r="F903" s="334">
        <f>ROUND(C903*E903,2)</f>
        <v>1424.9</v>
      </c>
      <c r="G903" s="260"/>
      <c r="H903" s="260"/>
      <c r="I903" s="260"/>
      <c r="J903" s="369"/>
    </row>
    <row r="904" spans="1:10" s="130" customFormat="1" ht="12.75" customHeight="1" x14ac:dyDescent="0.2">
      <c r="A904" s="126"/>
      <c r="B904" s="737" t="str">
        <f>"COMBUSTIBLE "&amp;MID(B32,13,14)</f>
        <v>COMBUSTIBLE (GAS-OIL REG.)</v>
      </c>
      <c r="C904" s="427">
        <v>0.84</v>
      </c>
      <c r="D904" s="250" t="s">
        <v>870</v>
      </c>
      <c r="E904" s="427">
        <f>F32*F35</f>
        <v>153.30149999999998</v>
      </c>
      <c r="F904" s="335">
        <f>ROUND(C904*E904,2)</f>
        <v>128.77000000000001</v>
      </c>
      <c r="G904" s="260"/>
      <c r="H904" s="260"/>
      <c r="I904" s="260"/>
      <c r="J904" s="369"/>
    </row>
    <row r="905" spans="1:10" s="130" customFormat="1" ht="12.75" customHeight="1" x14ac:dyDescent="0.2">
      <c r="A905" s="126"/>
      <c r="B905" s="737" t="s">
        <v>871</v>
      </c>
      <c r="C905" s="427">
        <v>20</v>
      </c>
      <c r="D905" s="250" t="s">
        <v>234</v>
      </c>
      <c r="E905" s="427">
        <f>F904</f>
        <v>128.77000000000001</v>
      </c>
      <c r="F905" s="335">
        <f>ROUND(C905*E905,2)/100</f>
        <v>25.754000000000001</v>
      </c>
      <c r="G905" s="260"/>
      <c r="H905" s="260"/>
      <c r="I905" s="260"/>
      <c r="J905" s="369"/>
    </row>
    <row r="906" spans="1:10" s="130" customFormat="1" ht="12.75" customHeight="1" x14ac:dyDescent="0.2">
      <c r="A906" s="126"/>
      <c r="B906" s="737" t="str">
        <f>"OPERADOR @ RD$ "&amp;F39&amp;" /DIA"</f>
        <v>OPERADOR @ RD$ 1100 /DIA</v>
      </c>
      <c r="C906" s="427">
        <v>1</v>
      </c>
      <c r="D906" s="250" t="s">
        <v>374</v>
      </c>
      <c r="E906" s="427">
        <f>F39/8</f>
        <v>137.5</v>
      </c>
      <c r="F906" s="335">
        <f>ROUND(C906*E906,2)</f>
        <v>137.5</v>
      </c>
      <c r="G906" s="260"/>
      <c r="H906" s="260"/>
      <c r="I906" s="260"/>
      <c r="J906" s="369"/>
    </row>
    <row r="907" spans="1:10" s="130" customFormat="1" ht="12.75" customHeight="1" thickBot="1" x14ac:dyDescent="0.25">
      <c r="A907" s="414"/>
      <c r="B907" s="837"/>
      <c r="C907" s="838"/>
      <c r="D907" s="837"/>
      <c r="E907" s="839" t="s">
        <v>872</v>
      </c>
      <c r="F907" s="840">
        <f>SUM(F903:F906)</f>
        <v>1716.924</v>
      </c>
      <c r="G907" s="260"/>
      <c r="H907" s="260"/>
      <c r="I907" s="260"/>
      <c r="J907" s="369"/>
    </row>
    <row r="908" spans="1:10" s="130" customFormat="1" ht="12.75" customHeight="1" thickTop="1" thickBot="1" x14ac:dyDescent="0.25">
      <c r="A908" s="253"/>
      <c r="B908" s="789" t="s">
        <v>1007</v>
      </c>
      <c r="C908" s="255">
        <v>48.21</v>
      </c>
      <c r="D908" s="256" t="s">
        <v>435</v>
      </c>
      <c r="E908" s="858" t="s">
        <v>424</v>
      </c>
      <c r="F908" s="859">
        <f>$F$907/C908</f>
        <v>35.613441194772868</v>
      </c>
      <c r="G908" s="260"/>
      <c r="H908" s="260"/>
      <c r="I908" s="260"/>
      <c r="J908" s="369"/>
    </row>
    <row r="909" spans="1:10" s="130" customFormat="1" ht="12.75" customHeight="1" thickTop="1" x14ac:dyDescent="0.2">
      <c r="C909" s="177"/>
      <c r="D909" s="69"/>
      <c r="E909" s="177"/>
      <c r="F909" s="177"/>
      <c r="G909" s="260"/>
      <c r="H909" s="260"/>
      <c r="I909" s="260"/>
      <c r="J909" s="369"/>
    </row>
    <row r="910" spans="1:10" s="130" customFormat="1" ht="12.75" customHeight="1" thickBot="1" x14ac:dyDescent="0.25">
      <c r="B910" s="731" t="s">
        <v>1009</v>
      </c>
      <c r="C910" s="732">
        <v>10</v>
      </c>
      <c r="D910" s="261" t="s">
        <v>867</v>
      </c>
      <c r="E910" s="734"/>
      <c r="F910" s="729"/>
      <c r="G910" s="260"/>
      <c r="H910" s="260"/>
      <c r="I910" s="260"/>
      <c r="J910" s="369"/>
    </row>
    <row r="911" spans="1:10" s="130" customFormat="1" ht="12.75" customHeight="1" thickTop="1" x14ac:dyDescent="0.2">
      <c r="A911" s="134"/>
      <c r="B911" s="735" t="s">
        <v>1006</v>
      </c>
      <c r="C911" s="736">
        <v>1</v>
      </c>
      <c r="D911" s="249" t="s">
        <v>374</v>
      </c>
      <c r="E911" s="736">
        <v>571.26</v>
      </c>
      <c r="F911" s="334">
        <f>ROUND(C911*E911,2)</f>
        <v>571.26</v>
      </c>
      <c r="G911" s="260"/>
      <c r="H911" s="260"/>
      <c r="I911" s="260"/>
      <c r="J911" s="369"/>
    </row>
    <row r="912" spans="1:10" s="130" customFormat="1" ht="12.75" customHeight="1" x14ac:dyDescent="0.2">
      <c r="A912" s="126"/>
      <c r="B912" s="737" t="str">
        <f>"COMBUSTIBLE "&amp;MID(B32,13,14)</f>
        <v>COMBUSTIBLE (GAS-OIL REG.)</v>
      </c>
      <c r="C912" s="427">
        <v>0.4</v>
      </c>
      <c r="D912" s="250" t="s">
        <v>870</v>
      </c>
      <c r="E912" s="427">
        <f>F32*F35</f>
        <v>153.30149999999998</v>
      </c>
      <c r="F912" s="335">
        <f>ROUND(C912*E912,2)</f>
        <v>61.32</v>
      </c>
      <c r="G912" s="260"/>
      <c r="H912" s="260"/>
      <c r="I912" s="260"/>
      <c r="J912" s="369"/>
    </row>
    <row r="913" spans="1:12" s="130" customFormat="1" ht="12.75" customHeight="1" x14ac:dyDescent="0.2">
      <c r="A913" s="126"/>
      <c r="B913" s="737" t="s">
        <v>871</v>
      </c>
      <c r="C913" s="427">
        <v>20</v>
      </c>
      <c r="D913" s="250" t="s">
        <v>234</v>
      </c>
      <c r="E913" s="427">
        <f>F912</f>
        <v>61.32</v>
      </c>
      <c r="F913" s="335">
        <f>ROUND(C913*E913,2)/100</f>
        <v>12.264000000000001</v>
      </c>
      <c r="G913" s="260"/>
      <c r="H913" s="260"/>
      <c r="I913" s="260"/>
      <c r="J913" s="369"/>
    </row>
    <row r="914" spans="1:12" s="130" customFormat="1" ht="12.75" customHeight="1" x14ac:dyDescent="0.2">
      <c r="A914" s="126"/>
      <c r="B914" s="737" t="str">
        <f>"OPERADOR @ RD$ "&amp;F39&amp;" /DIA"</f>
        <v>OPERADOR @ RD$ 1100 /DIA</v>
      </c>
      <c r="C914" s="427">
        <v>1</v>
      </c>
      <c r="D914" s="250" t="s">
        <v>374</v>
      </c>
      <c r="E914" s="427">
        <f>F39/8</f>
        <v>137.5</v>
      </c>
      <c r="F914" s="335">
        <f>ROUND(C914*E914,2)</f>
        <v>137.5</v>
      </c>
      <c r="G914" s="260"/>
      <c r="H914" s="260"/>
      <c r="I914" s="260"/>
      <c r="J914" s="369"/>
    </row>
    <row r="915" spans="1:12" s="130" customFormat="1" ht="12.75" customHeight="1" thickBot="1" x14ac:dyDescent="0.25">
      <c r="A915" s="414"/>
      <c r="B915" s="837"/>
      <c r="C915" s="838"/>
      <c r="D915" s="837"/>
      <c r="E915" s="839" t="s">
        <v>872</v>
      </c>
      <c r="F915" s="840">
        <f>SUM(F911:F914)</f>
        <v>782.34400000000005</v>
      </c>
      <c r="G915" s="260"/>
      <c r="H915" s="260"/>
      <c r="I915" s="260"/>
      <c r="J915" s="369"/>
    </row>
    <row r="916" spans="1:12" s="130" customFormat="1" ht="12.75" customHeight="1" thickTop="1" thickBot="1" x14ac:dyDescent="0.25">
      <c r="A916" s="253"/>
      <c r="B916" s="789" t="s">
        <v>1007</v>
      </c>
      <c r="C916" s="255"/>
      <c r="D916" s="256"/>
      <c r="E916" s="858" t="s">
        <v>424</v>
      </c>
      <c r="F916" s="859"/>
      <c r="G916" s="260"/>
      <c r="H916" s="260"/>
      <c r="I916" s="260"/>
      <c r="J916" s="369"/>
    </row>
    <row r="917" spans="1:12" s="130" customFormat="1" ht="12.75" customHeight="1" thickTop="1" x14ac:dyDescent="0.2">
      <c r="C917" s="177"/>
      <c r="D917" s="69"/>
      <c r="E917" s="177"/>
      <c r="F917" s="177"/>
      <c r="G917" s="260"/>
      <c r="H917" s="260"/>
      <c r="I917" s="260"/>
      <c r="J917" s="369"/>
    </row>
    <row r="918" spans="1:12" s="130" customFormat="1" ht="12.75" customHeight="1" thickBot="1" x14ac:dyDescent="0.25">
      <c r="B918" s="731" t="s">
        <v>1010</v>
      </c>
      <c r="C918" s="732">
        <v>11</v>
      </c>
      <c r="D918" s="261" t="s">
        <v>867</v>
      </c>
      <c r="E918" s="734"/>
      <c r="F918" s="729"/>
      <c r="G918" s="260"/>
      <c r="H918" s="260"/>
      <c r="I918" s="260"/>
      <c r="J918" s="369"/>
    </row>
    <row r="919" spans="1:12" s="130" customFormat="1" ht="12.75" customHeight="1" thickTop="1" x14ac:dyDescent="0.2">
      <c r="A919" s="134"/>
      <c r="B919" s="735" t="s">
        <v>1006</v>
      </c>
      <c r="C919" s="736">
        <v>1</v>
      </c>
      <c r="D919" s="249" t="s">
        <v>374</v>
      </c>
      <c r="E919" s="736">
        <v>571.26</v>
      </c>
      <c r="F919" s="334">
        <f>ROUND(C919*E919,2)</f>
        <v>571.26</v>
      </c>
      <c r="G919" s="260"/>
      <c r="H919" s="260"/>
      <c r="I919" s="260"/>
      <c r="J919" s="369"/>
    </row>
    <row r="920" spans="1:12" s="130" customFormat="1" ht="12.75" customHeight="1" x14ac:dyDescent="0.2">
      <c r="A920" s="126"/>
      <c r="B920" s="737" t="str">
        <f>"COMBUSTIBLE "&amp;MID(B33,13,15)</f>
        <v>COMBUSTIBLE (GASOILNA REG.)</v>
      </c>
      <c r="C920" s="427">
        <v>0.66</v>
      </c>
      <c r="D920" s="250" t="s">
        <v>870</v>
      </c>
      <c r="E920" s="427">
        <f>F33*F35</f>
        <v>206.59649999999996</v>
      </c>
      <c r="F920" s="335">
        <f>ROUND(C920*E920,2)</f>
        <v>136.35</v>
      </c>
      <c r="G920" s="260"/>
      <c r="H920" s="260"/>
      <c r="I920" s="260"/>
      <c r="J920" s="369"/>
    </row>
    <row r="921" spans="1:12" s="130" customFormat="1" ht="12.75" customHeight="1" x14ac:dyDescent="0.2">
      <c r="A921" s="126"/>
      <c r="B921" s="737" t="s">
        <v>871</v>
      </c>
      <c r="C921" s="427">
        <v>20</v>
      </c>
      <c r="D921" s="250" t="s">
        <v>234</v>
      </c>
      <c r="E921" s="427">
        <f>F920</f>
        <v>136.35</v>
      </c>
      <c r="F921" s="335">
        <f>ROUND(C921*E921,2)/100</f>
        <v>27.27</v>
      </c>
      <c r="G921" s="260"/>
      <c r="H921" s="260"/>
      <c r="I921" s="260"/>
      <c r="J921" s="369"/>
    </row>
    <row r="922" spans="1:12" s="130" customFormat="1" ht="12.75" customHeight="1" x14ac:dyDescent="0.2">
      <c r="A922" s="126"/>
      <c r="B922" s="737" t="str">
        <f>"OPERADOR @ RD$ "&amp;F39&amp;" /DIA"</f>
        <v>OPERADOR @ RD$ 1100 /DIA</v>
      </c>
      <c r="C922" s="427">
        <v>1</v>
      </c>
      <c r="D922" s="250" t="s">
        <v>374</v>
      </c>
      <c r="E922" s="427">
        <f>F39/8</f>
        <v>137.5</v>
      </c>
      <c r="F922" s="335">
        <f>ROUND(C922*E922,2)</f>
        <v>137.5</v>
      </c>
      <c r="G922" s="260"/>
      <c r="H922" s="260"/>
      <c r="I922" s="260"/>
      <c r="J922" s="369"/>
    </row>
    <row r="923" spans="1:12" s="130" customFormat="1" ht="12.75" customHeight="1" thickBot="1" x14ac:dyDescent="0.25">
      <c r="A923" s="414"/>
      <c r="B923" s="837"/>
      <c r="C923" s="838"/>
      <c r="D923" s="837"/>
      <c r="E923" s="839" t="s">
        <v>872</v>
      </c>
      <c r="F923" s="840">
        <f>SUM(F919:F922)</f>
        <v>872.38</v>
      </c>
      <c r="G923" s="260"/>
      <c r="H923" s="260"/>
      <c r="I923" s="260"/>
      <c r="J923" s="369"/>
    </row>
    <row r="924" spans="1:12" s="130" customFormat="1" ht="12.75" customHeight="1" thickTop="1" thickBot="1" x14ac:dyDescent="0.25">
      <c r="A924" s="253"/>
      <c r="B924" s="789" t="s">
        <v>1007</v>
      </c>
      <c r="C924" s="255"/>
      <c r="D924" s="256"/>
      <c r="E924" s="858" t="s">
        <v>424</v>
      </c>
      <c r="F924" s="860"/>
      <c r="G924" s="260"/>
      <c r="H924" s="260"/>
      <c r="I924" s="260"/>
      <c r="J924" s="369"/>
    </row>
    <row r="925" spans="1:12" s="130" customFormat="1" ht="12.75" customHeight="1" thickTop="1" x14ac:dyDescent="0.2">
      <c r="C925" s="177"/>
      <c r="D925" s="69"/>
      <c r="E925" s="177"/>
      <c r="F925" s="177"/>
      <c r="G925" s="260"/>
      <c r="H925" s="260"/>
      <c r="I925" s="260"/>
      <c r="J925" s="369"/>
    </row>
    <row r="926" spans="1:12" s="130" customFormat="1" ht="11.85" customHeight="1" thickBot="1" x14ac:dyDescent="0.25">
      <c r="B926" s="196" t="s">
        <v>1011</v>
      </c>
      <c r="C926" s="177"/>
      <c r="D926" s="69"/>
      <c r="E926" s="177"/>
      <c r="F926" s="177"/>
      <c r="G926" s="260"/>
      <c r="H926" s="260"/>
      <c r="I926" s="260"/>
      <c r="J926" s="369"/>
    </row>
    <row r="927" spans="1:12" s="130" customFormat="1" ht="12.75" customHeight="1" thickTop="1" x14ac:dyDescent="0.2">
      <c r="A927" s="134"/>
      <c r="B927" s="197" t="s">
        <v>1012</v>
      </c>
      <c r="C927" s="137">
        <v>1</v>
      </c>
      <c r="D927" s="249" t="s">
        <v>343</v>
      </c>
      <c r="E927" s="137">
        <v>3012.54</v>
      </c>
      <c r="F927" s="334">
        <f>ROUND(C927*E927,2)</f>
        <v>3012.54</v>
      </c>
      <c r="G927" s="260"/>
      <c r="H927" s="260"/>
      <c r="I927" s="260">
        <v>3</v>
      </c>
      <c r="J927" s="369"/>
    </row>
    <row r="928" spans="1:12" s="130" customFormat="1" ht="12.75" customHeight="1" x14ac:dyDescent="0.2">
      <c r="A928" s="126"/>
      <c r="B928" s="198" t="s">
        <v>1013</v>
      </c>
      <c r="C928" s="140">
        <v>1</v>
      </c>
      <c r="D928" s="250" t="s">
        <v>343</v>
      </c>
      <c r="E928" s="140">
        <v>1950</v>
      </c>
      <c r="F928" s="335">
        <f>ROUND(C928*E928,2)</f>
        <v>1950</v>
      </c>
      <c r="G928" s="260"/>
      <c r="H928" s="260">
        <v>330.6</v>
      </c>
      <c r="I928" s="260">
        <v>650</v>
      </c>
      <c r="J928" s="369"/>
      <c r="L928" s="130">
        <v>60</v>
      </c>
    </row>
    <row r="929" spans="1:12" s="130" customFormat="1" ht="12.75" customHeight="1" x14ac:dyDescent="0.2">
      <c r="A929" s="126"/>
      <c r="B929" s="198" t="s">
        <v>1014</v>
      </c>
      <c r="C929" s="140">
        <v>1</v>
      </c>
      <c r="D929" s="250" t="s">
        <v>343</v>
      </c>
      <c r="E929" s="140">
        <v>1300</v>
      </c>
      <c r="F929" s="335">
        <f>ROUND(C929*E929,2)</f>
        <v>1300</v>
      </c>
      <c r="G929" s="260"/>
      <c r="H929" s="260">
        <f>H928*8</f>
        <v>2644.8</v>
      </c>
      <c r="I929" s="260">
        <f>I928*I927</f>
        <v>1950</v>
      </c>
      <c r="J929" s="369"/>
      <c r="L929" s="130">
        <f>L928*1.18</f>
        <v>70.8</v>
      </c>
    </row>
    <row r="930" spans="1:12" s="130" customFormat="1" ht="12.75" customHeight="1" x14ac:dyDescent="0.2">
      <c r="A930" s="126"/>
      <c r="B930" s="198" t="s">
        <v>1015</v>
      </c>
      <c r="C930" s="140">
        <v>1</v>
      </c>
      <c r="D930" s="250" t="s">
        <v>343</v>
      </c>
      <c r="E930" s="140">
        <f>(F928+F929)*0.03</f>
        <v>97.5</v>
      </c>
      <c r="F930" s="335">
        <f>ROUND(C930*E930,2)</f>
        <v>97.5</v>
      </c>
      <c r="G930" s="260"/>
      <c r="H930" s="260"/>
      <c r="I930" s="260"/>
      <c r="J930" s="369"/>
      <c r="L930" s="260"/>
    </row>
    <row r="931" spans="1:12" s="130" customFormat="1" ht="12.75" customHeight="1" thickBot="1" x14ac:dyDescent="0.25">
      <c r="A931" s="142"/>
      <c r="B931" s="421"/>
      <c r="C931" s="146"/>
      <c r="D931" s="188"/>
      <c r="E931" s="741" t="s">
        <v>850</v>
      </c>
      <c r="F931" s="636">
        <f>SUM(F927:F930)</f>
        <v>6360.04</v>
      </c>
      <c r="G931" s="260"/>
      <c r="H931" s="260"/>
      <c r="I931" s="260"/>
      <c r="J931" s="369"/>
    </row>
    <row r="932" spans="1:12" s="130" customFormat="1" ht="12.75" customHeight="1" thickTop="1" thickBot="1" x14ac:dyDescent="0.25">
      <c r="A932" s="253"/>
      <c r="B932" s="789" t="s">
        <v>1016</v>
      </c>
      <c r="C932" s="255">
        <v>45.8</v>
      </c>
      <c r="D932" s="861" t="s">
        <v>421</v>
      </c>
      <c r="E932" s="257" t="s">
        <v>424</v>
      </c>
      <c r="F932" s="862">
        <f>F931/C932</f>
        <v>138.86550218340611</v>
      </c>
      <c r="G932" s="260"/>
      <c r="H932" s="260"/>
      <c r="I932" s="260"/>
      <c r="J932" s="369"/>
    </row>
    <row r="933" spans="1:12" s="130" customFormat="1" ht="12.75" customHeight="1" thickTop="1" thickBot="1" x14ac:dyDescent="0.25">
      <c r="A933" s="134"/>
      <c r="B933" s="832" t="s">
        <v>1017</v>
      </c>
      <c r="C933" s="863" t="s">
        <v>1018</v>
      </c>
      <c r="D933" s="249"/>
      <c r="E933" s="596" t="s">
        <v>1019</v>
      </c>
      <c r="F933" s="864">
        <v>183.13</v>
      </c>
      <c r="G933" s="260"/>
      <c r="H933" s="260"/>
      <c r="I933" s="260"/>
      <c r="J933" s="369"/>
    </row>
    <row r="934" spans="1:12" s="130" customFormat="1" ht="12.75" customHeight="1" thickTop="1" thickBot="1" x14ac:dyDescent="0.25">
      <c r="A934" s="142"/>
      <c r="B934" s="757" t="s">
        <v>1020</v>
      </c>
      <c r="C934" s="865" t="s">
        <v>1018</v>
      </c>
      <c r="D934" s="188"/>
      <c r="E934" s="257" t="s">
        <v>1019</v>
      </c>
      <c r="F934" s="788">
        <v>122.45</v>
      </c>
      <c r="G934" s="260"/>
      <c r="H934" s="260"/>
      <c r="I934" s="260"/>
      <c r="J934" s="369"/>
    </row>
    <row r="935" spans="1:12" s="130" customFormat="1" ht="12.75" customHeight="1" thickTop="1" x14ac:dyDescent="0.2">
      <c r="C935" s="177"/>
      <c r="D935" s="69"/>
      <c r="E935" s="177"/>
      <c r="F935" s="177"/>
      <c r="G935" s="260"/>
      <c r="H935" s="260"/>
      <c r="I935" s="260"/>
      <c r="J935" s="369"/>
    </row>
    <row r="936" spans="1:12" s="130" customFormat="1" ht="12.75" customHeight="1" x14ac:dyDescent="0.2">
      <c r="C936" s="177"/>
      <c r="D936" s="69"/>
      <c r="E936" s="177"/>
      <c r="F936" s="177"/>
      <c r="G936" s="260"/>
      <c r="H936" s="260"/>
      <c r="I936" s="260"/>
      <c r="J936" s="369"/>
    </row>
    <row r="937" spans="1:12" s="130" customFormat="1" ht="12.75" customHeight="1" thickBot="1" x14ac:dyDescent="0.25">
      <c r="A937" s="205"/>
      <c r="B937" s="1737" t="s">
        <v>1021</v>
      </c>
      <c r="C937" s="1737"/>
      <c r="D937" s="1737"/>
      <c r="E937" s="1737"/>
      <c r="F937" s="1737"/>
      <c r="G937" s="260"/>
      <c r="H937" s="260"/>
      <c r="I937" s="260"/>
      <c r="J937" s="369"/>
    </row>
    <row r="938" spans="1:12" s="130" customFormat="1" ht="12.75" customHeight="1" thickTop="1" x14ac:dyDescent="0.2">
      <c r="A938" s="276"/>
      <c r="B938" s="866" t="s">
        <v>1022</v>
      </c>
      <c r="C938" s="867"/>
      <c r="D938" s="867"/>
      <c r="E938" s="868"/>
      <c r="F938" s="869"/>
      <c r="G938" s="260"/>
      <c r="H938" s="260"/>
      <c r="I938" s="260"/>
      <c r="J938" s="369"/>
    </row>
    <row r="939" spans="1:12" s="130" customFormat="1" ht="12.75" customHeight="1" x14ac:dyDescent="0.2">
      <c r="A939" s="228"/>
      <c r="B939" s="870" t="s">
        <v>1023</v>
      </c>
      <c r="C939" s="871">
        <v>1</v>
      </c>
      <c r="D939" s="872" t="s">
        <v>374</v>
      </c>
      <c r="E939" s="873">
        <v>368.75</v>
      </c>
      <c r="F939" s="874">
        <f>ROUND(C939*E939,2)</f>
        <v>368.75</v>
      </c>
      <c r="G939" s="260"/>
      <c r="H939" s="260"/>
      <c r="I939" s="260">
        <f>368.75*8</f>
        <v>2950</v>
      </c>
      <c r="J939" s="369"/>
    </row>
    <row r="940" spans="1:12" s="130" customFormat="1" ht="12.75" customHeight="1" x14ac:dyDescent="0.2">
      <c r="A940" s="228"/>
      <c r="B940" s="875" t="s">
        <v>1024</v>
      </c>
      <c r="C940" s="871">
        <v>1</v>
      </c>
      <c r="D940" s="872" t="s">
        <v>1025</v>
      </c>
      <c r="E940" s="873">
        <v>118.75</v>
      </c>
      <c r="F940" s="874">
        <f>ROUND(C940*E940,2)</f>
        <v>118.75</v>
      </c>
      <c r="G940" s="260"/>
      <c r="H940" s="260"/>
      <c r="I940" s="260"/>
      <c r="J940" s="369"/>
    </row>
    <row r="941" spans="1:12" s="130" customFormat="1" ht="12.75" customHeight="1" x14ac:dyDescent="0.2">
      <c r="A941" s="228"/>
      <c r="B941" s="875" t="s">
        <v>1026</v>
      </c>
      <c r="C941" s="871">
        <v>0.52</v>
      </c>
      <c r="D941" s="876" t="s">
        <v>274</v>
      </c>
      <c r="E941" s="873">
        <v>225</v>
      </c>
      <c r="F941" s="874">
        <f>ROUND(C941*E941,2)</f>
        <v>117</v>
      </c>
      <c r="G941" s="260"/>
      <c r="H941" s="260"/>
      <c r="I941" s="260">
        <f>13*0.04</f>
        <v>0.52</v>
      </c>
      <c r="J941" s="369"/>
    </row>
    <row r="942" spans="1:12" s="130" customFormat="1" ht="12.75" customHeight="1" x14ac:dyDescent="0.2">
      <c r="A942" s="228"/>
      <c r="B942" s="875" t="s">
        <v>1027</v>
      </c>
      <c r="C942" s="871">
        <v>0.2</v>
      </c>
      <c r="D942" s="872" t="s">
        <v>8</v>
      </c>
      <c r="E942" s="873">
        <f>F941</f>
        <v>117</v>
      </c>
      <c r="F942" s="874">
        <f>ROUND(C942*E942,2)</f>
        <v>23.4</v>
      </c>
      <c r="G942" s="260"/>
      <c r="H942" s="260"/>
      <c r="I942" s="260"/>
      <c r="J942" s="369"/>
    </row>
    <row r="943" spans="1:12" s="130" customFormat="1" ht="12.75" customHeight="1" x14ac:dyDescent="0.2">
      <c r="A943" s="228"/>
      <c r="B943" s="877" t="s">
        <v>1028</v>
      </c>
      <c r="C943" s="875"/>
      <c r="D943" s="875"/>
      <c r="E943" s="878"/>
      <c r="F943" s="879">
        <f>ROUND(SUM(F939:F942),2)</f>
        <v>627.9</v>
      </c>
      <c r="G943" s="260"/>
      <c r="H943" s="260"/>
      <c r="I943" s="260"/>
      <c r="J943" s="369"/>
    </row>
    <row r="944" spans="1:12" s="130" customFormat="1" ht="12.75" customHeight="1" x14ac:dyDescent="0.2">
      <c r="A944" s="228"/>
      <c r="B944" s="870" t="s">
        <v>1029</v>
      </c>
      <c r="C944" s="871">
        <v>1</v>
      </c>
      <c r="D944" s="872" t="s">
        <v>8</v>
      </c>
      <c r="E944" s="880">
        <v>20263</v>
      </c>
      <c r="F944" s="874">
        <f>ROUND(C944*E944,2)</f>
        <v>20263</v>
      </c>
      <c r="G944" s="260"/>
      <c r="H944" s="260"/>
      <c r="I944" s="260"/>
      <c r="J944" s="369"/>
    </row>
    <row r="945" spans="1:10" s="130" customFormat="1" ht="12.75" customHeight="1" x14ac:dyDescent="0.2">
      <c r="A945" s="228"/>
      <c r="B945" s="881" t="s">
        <v>1030</v>
      </c>
      <c r="C945" s="882">
        <v>750</v>
      </c>
      <c r="D945" s="883" t="s">
        <v>41</v>
      </c>
      <c r="E945" s="881"/>
      <c r="F945" s="879">
        <f>ROUND(F944/C945,2)</f>
        <v>27.02</v>
      </c>
      <c r="G945" s="260"/>
      <c r="H945" s="260"/>
      <c r="I945" s="260"/>
      <c r="J945" s="369"/>
    </row>
    <row r="946" spans="1:10" s="130" customFormat="1" ht="12.75" customHeight="1" thickBot="1" x14ac:dyDescent="0.25">
      <c r="A946" s="884"/>
      <c r="B946" s="885"/>
      <c r="C946" s="886"/>
      <c r="D946" s="887"/>
      <c r="E946" s="839" t="s">
        <v>1031</v>
      </c>
      <c r="F946" s="888">
        <f>ROUND(SUM(F943,F945),2)</f>
        <v>654.91999999999996</v>
      </c>
      <c r="G946" s="260"/>
      <c r="H946" s="260"/>
      <c r="I946" s="260"/>
      <c r="J946" s="369"/>
    </row>
    <row r="947" spans="1:10" s="130" customFormat="1" ht="12.75" customHeight="1" thickTop="1" thickBot="1" x14ac:dyDescent="0.25">
      <c r="A947" s="889"/>
      <c r="B947" s="890" t="s">
        <v>1032</v>
      </c>
      <c r="C947" s="891">
        <v>8.75</v>
      </c>
      <c r="D947" s="892" t="s">
        <v>1033</v>
      </c>
      <c r="E947" s="893" t="s">
        <v>1034</v>
      </c>
      <c r="F947" s="862">
        <f>ROUND(F946/C947,2)</f>
        <v>74.849999999999994</v>
      </c>
      <c r="G947" s="260"/>
      <c r="H947" s="260"/>
      <c r="I947" s="260"/>
      <c r="J947" s="369"/>
    </row>
    <row r="948" spans="1:10" s="130" customFormat="1" ht="12.75" customHeight="1" thickTop="1" thickBot="1" x14ac:dyDescent="0.25">
      <c r="A948" s="232"/>
      <c r="B948" s="894" t="s">
        <v>1035</v>
      </c>
      <c r="C948" s="895">
        <v>5</v>
      </c>
      <c r="D948" s="896" t="s">
        <v>1033</v>
      </c>
      <c r="E948" s="741" t="s">
        <v>1034</v>
      </c>
      <c r="F948" s="897">
        <f>ROUND(F946/C948,2)</f>
        <v>130.97999999999999</v>
      </c>
      <c r="G948" s="260"/>
      <c r="H948" s="260"/>
      <c r="I948" s="260"/>
      <c r="J948" s="369"/>
    </row>
    <row r="949" spans="1:10" s="130" customFormat="1" ht="12.75" customHeight="1" thickTop="1" x14ac:dyDescent="0.2">
      <c r="A949" s="898"/>
      <c r="B949" s="899"/>
      <c r="C949" s="900"/>
      <c r="D949" s="901"/>
      <c r="E949" s="902"/>
      <c r="F949" s="903"/>
      <c r="G949" s="260"/>
      <c r="H949" s="260"/>
      <c r="I949" s="260"/>
      <c r="J949" s="369"/>
    </row>
    <row r="950" spans="1:10" s="130" customFormat="1" ht="12.75" customHeight="1" x14ac:dyDescent="0.2">
      <c r="A950" s="205"/>
      <c r="B950" s="1738" t="s">
        <v>1036</v>
      </c>
      <c r="C950" s="1738"/>
      <c r="D950" s="1738"/>
      <c r="E950" s="1738"/>
      <c r="F950" s="1738"/>
      <c r="G950" s="260"/>
      <c r="H950" s="260"/>
      <c r="I950" s="260"/>
      <c r="J950" s="369"/>
    </row>
    <row r="951" spans="1:10" s="130" customFormat="1" ht="5.0999999999999996" customHeight="1" thickBot="1" x14ac:dyDescent="0.25">
      <c r="A951" s="205"/>
      <c r="B951" s="205"/>
      <c r="C951" s="904"/>
      <c r="D951" s="905"/>
      <c r="E951" s="904"/>
      <c r="F951" s="904"/>
      <c r="G951" s="260"/>
      <c r="H951" s="260"/>
      <c r="I951" s="260"/>
      <c r="J951" s="369"/>
    </row>
    <row r="952" spans="1:10" s="130" customFormat="1" ht="12.75" customHeight="1" thickTop="1" x14ac:dyDescent="0.2">
      <c r="A952" s="276"/>
      <c r="B952" s="906" t="s">
        <v>1037</v>
      </c>
      <c r="C952" s="907"/>
      <c r="D952" s="908"/>
      <c r="E952" s="907"/>
      <c r="F952" s="909"/>
      <c r="G952" s="260"/>
      <c r="H952" s="260"/>
      <c r="I952" s="260"/>
      <c r="J952" s="369"/>
    </row>
    <row r="953" spans="1:10" s="130" customFormat="1" ht="12.75" customHeight="1" x14ac:dyDescent="0.2">
      <c r="A953" s="228"/>
      <c r="B953" s="910" t="s">
        <v>1038</v>
      </c>
      <c r="C953" s="221">
        <v>1</v>
      </c>
      <c r="D953" s="280" t="s">
        <v>343</v>
      </c>
      <c r="E953" s="221">
        <f>F36</f>
        <v>1977</v>
      </c>
      <c r="F953" s="874">
        <f t="shared" ref="F953:F958" si="21">ROUND(C953*E953,2)</f>
        <v>1977</v>
      </c>
      <c r="G953" s="260"/>
      <c r="H953" s="260"/>
      <c r="I953" s="260"/>
      <c r="J953" s="369"/>
    </row>
    <row r="954" spans="1:10" s="130" customFormat="1" ht="12.75" customHeight="1" x14ac:dyDescent="0.2">
      <c r="A954" s="228"/>
      <c r="B954" s="910" t="s">
        <v>1039</v>
      </c>
      <c r="C954" s="221">
        <v>1</v>
      </c>
      <c r="D954" s="280" t="s">
        <v>343</v>
      </c>
      <c r="E954" s="221">
        <f>F39</f>
        <v>1100</v>
      </c>
      <c r="F954" s="874">
        <f t="shared" si="21"/>
        <v>1100</v>
      </c>
      <c r="G954" s="260"/>
      <c r="H954" s="260"/>
      <c r="I954" s="260"/>
      <c r="J954" s="369"/>
    </row>
    <row r="955" spans="1:10" s="130" customFormat="1" ht="12.75" customHeight="1" x14ac:dyDescent="0.2">
      <c r="A955" s="228"/>
      <c r="B955" s="910" t="s">
        <v>1040</v>
      </c>
      <c r="C955" s="221">
        <v>1</v>
      </c>
      <c r="D955" s="280" t="s">
        <v>343</v>
      </c>
      <c r="E955" s="221">
        <f>F42</f>
        <v>659</v>
      </c>
      <c r="F955" s="874">
        <f t="shared" si="21"/>
        <v>659</v>
      </c>
      <c r="G955" s="260"/>
      <c r="H955" s="260"/>
      <c r="I955" s="260"/>
      <c r="J955" s="369"/>
    </row>
    <row r="956" spans="1:10" s="130" customFormat="1" ht="12.75" customHeight="1" x14ac:dyDescent="0.2">
      <c r="A956" s="228"/>
      <c r="B956" s="910" t="s">
        <v>1041</v>
      </c>
      <c r="C956" s="221">
        <v>1</v>
      </c>
      <c r="D956" s="280" t="s">
        <v>343</v>
      </c>
      <c r="E956" s="221">
        <f>F42*3</f>
        <v>1977</v>
      </c>
      <c r="F956" s="874">
        <f t="shared" si="21"/>
        <v>1977</v>
      </c>
      <c r="G956" s="260"/>
      <c r="H956" s="260"/>
      <c r="I956" s="260"/>
      <c r="J956" s="369"/>
    </row>
    <row r="957" spans="1:10" s="130" customFormat="1" ht="12.75" customHeight="1" x14ac:dyDescent="0.2">
      <c r="A957" s="228"/>
      <c r="B957" s="910" t="s">
        <v>1042</v>
      </c>
      <c r="C957" s="221">
        <v>1</v>
      </c>
      <c r="D957" s="280" t="s">
        <v>343</v>
      </c>
      <c r="E957" s="221">
        <f>F42*2</f>
        <v>1318</v>
      </c>
      <c r="F957" s="874">
        <f t="shared" si="21"/>
        <v>1318</v>
      </c>
      <c r="G957" s="260"/>
      <c r="H957" s="260"/>
      <c r="I957" s="260"/>
      <c r="J957" s="369"/>
    </row>
    <row r="958" spans="1:10" s="130" customFormat="1" ht="12.75" customHeight="1" x14ac:dyDescent="0.2">
      <c r="A958" s="228"/>
      <c r="B958" s="910" t="s">
        <v>1043</v>
      </c>
      <c r="C958" s="221">
        <v>1</v>
      </c>
      <c r="D958" s="280" t="s">
        <v>343</v>
      </c>
      <c r="E958" s="221">
        <f>F42*2</f>
        <v>1318</v>
      </c>
      <c r="F958" s="874">
        <f t="shared" si="21"/>
        <v>1318</v>
      </c>
      <c r="G958" s="260"/>
      <c r="H958" s="260"/>
      <c r="I958" s="260"/>
      <c r="J958" s="369"/>
    </row>
    <row r="959" spans="1:10" s="130" customFormat="1" ht="12.75" customHeight="1" x14ac:dyDescent="0.2">
      <c r="A959" s="228"/>
      <c r="B959" s="218"/>
      <c r="C959" s="221"/>
      <c r="D959" s="280"/>
      <c r="E959" s="611" t="s">
        <v>770</v>
      </c>
      <c r="F959" s="911">
        <f>ROUND(SUM(F953:F958),2)</f>
        <v>8349</v>
      </c>
      <c r="G959" s="260"/>
      <c r="H959" s="260"/>
      <c r="I959" s="260"/>
      <c r="J959" s="369"/>
    </row>
    <row r="960" spans="1:10" s="130" customFormat="1" ht="12.75" customHeight="1" x14ac:dyDescent="0.2">
      <c r="A960" s="228"/>
      <c r="B960" s="912" t="s">
        <v>1044</v>
      </c>
      <c r="C960" s="913"/>
      <c r="D960" s="914"/>
      <c r="E960" s="913"/>
      <c r="F960" s="915"/>
      <c r="G960" s="260"/>
      <c r="H960" s="260"/>
      <c r="I960" s="260"/>
      <c r="J960" s="369"/>
    </row>
    <row r="961" spans="1:10" s="130" customFormat="1" ht="12.75" customHeight="1" x14ac:dyDescent="0.2">
      <c r="A961" s="228"/>
      <c r="B961" s="910" t="s">
        <v>1045</v>
      </c>
      <c r="C961" s="221">
        <v>8</v>
      </c>
      <c r="D961" s="280" t="s">
        <v>374</v>
      </c>
      <c r="E961" s="221">
        <v>459.29</v>
      </c>
      <c r="F961" s="874">
        <f>ROUND(C961*E961,2)</f>
        <v>3674.32</v>
      </c>
      <c r="G961" s="260"/>
      <c r="H961" s="260"/>
      <c r="I961" s="260"/>
      <c r="J961" s="369"/>
    </row>
    <row r="962" spans="1:10" s="130" customFormat="1" ht="12.75" customHeight="1" x14ac:dyDescent="0.2">
      <c r="A962" s="228"/>
      <c r="B962" s="910" t="s">
        <v>1046</v>
      </c>
      <c r="C962" s="221">
        <v>1</v>
      </c>
      <c r="D962" s="280" t="s">
        <v>1047</v>
      </c>
      <c r="E962" s="221">
        <v>225</v>
      </c>
      <c r="F962" s="874">
        <f>ROUND(C962*E962,2)</f>
        <v>225</v>
      </c>
      <c r="G962" s="260"/>
      <c r="H962" s="260"/>
      <c r="I962" s="260"/>
      <c r="J962" s="369"/>
    </row>
    <row r="963" spans="1:10" s="130" customFormat="1" ht="12.75" customHeight="1" x14ac:dyDescent="0.2">
      <c r="A963" s="228"/>
      <c r="B963" s="916"/>
      <c r="C963" s="913"/>
      <c r="D963" s="914"/>
      <c r="E963" s="611" t="s">
        <v>770</v>
      </c>
      <c r="F963" s="911">
        <f>ROUND(SUM(F961:F962),2)</f>
        <v>3899.32</v>
      </c>
      <c r="G963" s="260"/>
      <c r="H963" s="260"/>
      <c r="I963" s="260"/>
      <c r="J963" s="369"/>
    </row>
    <row r="964" spans="1:10" s="130" customFormat="1" ht="12.75" customHeight="1" x14ac:dyDescent="0.2">
      <c r="A964" s="228"/>
      <c r="B964" s="916"/>
      <c r="C964" s="913"/>
      <c r="D964" s="914"/>
      <c r="E964" s="611" t="s">
        <v>1048</v>
      </c>
      <c r="F964" s="917">
        <f>ROUND(SUM(F959,F963),2)</f>
        <v>12248.32</v>
      </c>
      <c r="G964" s="260"/>
      <c r="H964" s="260"/>
      <c r="I964" s="260"/>
      <c r="J964" s="369"/>
    </row>
    <row r="965" spans="1:10" s="130" customFormat="1" ht="12.75" customHeight="1" thickBot="1" x14ac:dyDescent="0.25">
      <c r="A965" s="232"/>
      <c r="B965" s="918" t="s">
        <v>1049</v>
      </c>
      <c r="C965" s="284">
        <v>18</v>
      </c>
      <c r="D965" s="285" t="s">
        <v>421</v>
      </c>
      <c r="E965" s="606" t="s">
        <v>772</v>
      </c>
      <c r="F965" s="919">
        <f>ROUND(F964/C965,2)</f>
        <v>680.46</v>
      </c>
      <c r="G965" s="260"/>
      <c r="H965" s="260"/>
      <c r="I965" s="920"/>
      <c r="J965" s="369"/>
    </row>
    <row r="966" spans="1:10" s="130" customFormat="1" ht="12.75" customHeight="1" thickTop="1" thickBot="1" x14ac:dyDescent="0.25">
      <c r="A966" s="921"/>
      <c r="B966" s="922" t="s">
        <v>1050</v>
      </c>
      <c r="C966" s="923">
        <f>1/(1*2.54/100)</f>
        <v>39.370078740157481</v>
      </c>
      <c r="D966" s="924" t="s">
        <v>1051</v>
      </c>
      <c r="E966" s="925" t="s">
        <v>670</v>
      </c>
      <c r="F966" s="926">
        <f>ROUND(F$965/C966,2)</f>
        <v>17.28</v>
      </c>
      <c r="G966" s="260"/>
      <c r="H966" s="260"/>
      <c r="I966" s="920"/>
      <c r="J966" s="369"/>
    </row>
    <row r="967" spans="1:10" s="130" customFormat="1" ht="12.75" customHeight="1" thickTop="1" thickBot="1" x14ac:dyDescent="0.25">
      <c r="A967" s="927"/>
      <c r="B967" s="928" t="s">
        <v>1052</v>
      </c>
      <c r="C967" s="929">
        <f>1/(2*2.54/100)</f>
        <v>19.685039370078741</v>
      </c>
      <c r="D967" s="930" t="s">
        <v>1051</v>
      </c>
      <c r="E967" s="931" t="s">
        <v>670</v>
      </c>
      <c r="F967" s="258">
        <f>ROUND(F$965/C967,2)</f>
        <v>34.57</v>
      </c>
      <c r="G967" s="260"/>
      <c r="H967" s="260"/>
      <c r="I967" s="260"/>
      <c r="J967" s="369"/>
    </row>
    <row r="968" spans="1:10" s="130" customFormat="1" ht="12.75" customHeight="1" thickTop="1" thickBot="1" x14ac:dyDescent="0.25">
      <c r="A968" s="921"/>
      <c r="B968" s="922" t="s">
        <v>1053</v>
      </c>
      <c r="C968" s="923">
        <f>1/(3*2.54/100)</f>
        <v>13.123359580052492</v>
      </c>
      <c r="D968" s="924" t="s">
        <v>1051</v>
      </c>
      <c r="E968" s="925" t="s">
        <v>670</v>
      </c>
      <c r="F968" s="926">
        <f>ROUND(F$965/C968,2)</f>
        <v>51.85</v>
      </c>
      <c r="G968" s="260"/>
      <c r="H968" s="260"/>
      <c r="I968" s="260"/>
      <c r="J968" s="369"/>
    </row>
    <row r="969" spans="1:10" s="130" customFormat="1" ht="12.75" customHeight="1" thickTop="1" thickBot="1" x14ac:dyDescent="0.25">
      <c r="A969" s="927"/>
      <c r="B969" s="928" t="s">
        <v>1054</v>
      </c>
      <c r="C969" s="929">
        <f>1/(4*2.54/100)</f>
        <v>9.8425196850393704</v>
      </c>
      <c r="D969" s="930" t="s">
        <v>1051</v>
      </c>
      <c r="E969" s="931" t="s">
        <v>670</v>
      </c>
      <c r="F969" s="258">
        <f>ROUND(F$965/C969,2)</f>
        <v>69.13</v>
      </c>
      <c r="G969" s="260"/>
      <c r="H969" s="260"/>
      <c r="I969" s="260"/>
      <c r="J969" s="369"/>
    </row>
    <row r="970" spans="1:10" s="130" customFormat="1" ht="12.75" customHeight="1" thickTop="1" thickBot="1" x14ac:dyDescent="0.25">
      <c r="A970" s="921"/>
      <c r="B970" s="922" t="s">
        <v>1055</v>
      </c>
      <c r="C970" s="923">
        <f>1/(6*2.54/100)</f>
        <v>6.561679790026246</v>
      </c>
      <c r="D970" s="924" t="s">
        <v>1051</v>
      </c>
      <c r="E970" s="925" t="s">
        <v>670</v>
      </c>
      <c r="F970" s="926">
        <f>ROUND(F$965/C970,2)</f>
        <v>103.7</v>
      </c>
      <c r="G970" s="260"/>
      <c r="H970" s="260"/>
      <c r="I970" s="260"/>
      <c r="J970" s="369"/>
    </row>
    <row r="971" spans="1:10" s="130" customFormat="1" ht="11.85" customHeight="1" thickTop="1" x14ac:dyDescent="0.2">
      <c r="C971" s="177"/>
      <c r="D971" s="69"/>
      <c r="E971" s="177"/>
      <c r="F971" s="177"/>
      <c r="G971" s="260"/>
      <c r="H971" s="260"/>
      <c r="I971" s="260"/>
      <c r="J971" s="369"/>
    </row>
    <row r="972" spans="1:10" s="130" customFormat="1" ht="11.85" customHeight="1" thickBot="1" x14ac:dyDescent="0.25">
      <c r="B972" s="196" t="s">
        <v>1056</v>
      </c>
      <c r="C972" s="177"/>
      <c r="D972" s="69"/>
      <c r="E972" s="177"/>
      <c r="F972" s="177"/>
      <c r="G972" s="260"/>
      <c r="H972" s="260"/>
      <c r="I972" s="260"/>
      <c r="J972" s="369"/>
    </row>
    <row r="973" spans="1:10" s="130" customFormat="1" ht="12.75" customHeight="1" thickTop="1" x14ac:dyDescent="0.2">
      <c r="A973" s="134"/>
      <c r="B973" s="797" t="str">
        <f>CONCATENATE("MAESTRO (1 U) @,", F36,"/DIA")</f>
        <v>MAESTRO (1 U) @,1977/DIA</v>
      </c>
      <c r="C973" s="137">
        <v>0.13</v>
      </c>
      <c r="D973" s="249" t="s">
        <v>343</v>
      </c>
      <c r="E973" s="137">
        <f>F36</f>
        <v>1977</v>
      </c>
      <c r="F973" s="334">
        <f>ROUND(C973*E973,2)</f>
        <v>257.01</v>
      </c>
      <c r="G973" s="260"/>
      <c r="H973" s="260"/>
      <c r="I973" s="260"/>
      <c r="J973" s="369"/>
    </row>
    <row r="974" spans="1:10" s="130" customFormat="1" ht="12.75" customHeight="1" x14ac:dyDescent="0.2">
      <c r="A974" s="777"/>
      <c r="B974" s="932" t="str">
        <f>CONCATENATE("PEON (5 U) @,",F42, "/DIA")</f>
        <v>PEON (5 U) @,659/DIA</v>
      </c>
      <c r="C974" s="265">
        <v>1</v>
      </c>
      <c r="D974" s="500" t="s">
        <v>343</v>
      </c>
      <c r="E974" s="265">
        <f>(F42)*G974</f>
        <v>3295</v>
      </c>
      <c r="F974" s="933">
        <f>ROUND(C974*E974,2)</f>
        <v>3295</v>
      </c>
      <c r="G974" s="260">
        <v>5</v>
      </c>
      <c r="H974" s="260"/>
      <c r="I974" s="260"/>
      <c r="J974" s="369"/>
    </row>
    <row r="975" spans="1:10" s="130" customFormat="1" ht="12.75" customHeight="1" x14ac:dyDescent="0.2">
      <c r="A975" s="126"/>
      <c r="B975" s="198" t="s">
        <v>846</v>
      </c>
      <c r="C975" s="98">
        <v>3</v>
      </c>
      <c r="D975" s="250" t="s">
        <v>234</v>
      </c>
      <c r="E975" s="98">
        <f>(F974)</f>
        <v>3295</v>
      </c>
      <c r="F975" s="335">
        <f>ROUND(C975*E975,2)/100</f>
        <v>98.85</v>
      </c>
      <c r="G975" s="260"/>
      <c r="H975" s="260"/>
      <c r="I975" s="260"/>
      <c r="J975" s="369"/>
    </row>
    <row r="976" spans="1:10" s="130" customFormat="1" ht="12.75" customHeight="1" thickBot="1" x14ac:dyDescent="0.25">
      <c r="A976" s="142"/>
      <c r="B976" s="421"/>
      <c r="C976" s="146"/>
      <c r="D976" s="188"/>
      <c r="E976" s="741" t="s">
        <v>850</v>
      </c>
      <c r="F976" s="636">
        <f>SUM(F973:F975)</f>
        <v>3650.86</v>
      </c>
      <c r="G976" s="260"/>
      <c r="H976" s="260"/>
      <c r="I976" s="260"/>
      <c r="J976" s="369"/>
    </row>
    <row r="977" spans="1:10" s="130" customFormat="1" ht="12.75" customHeight="1" thickTop="1" thickBot="1" x14ac:dyDescent="0.25">
      <c r="A977" s="253"/>
      <c r="B977" s="934" t="s">
        <v>420</v>
      </c>
      <c r="C977" s="255">
        <v>12</v>
      </c>
      <c r="D977" s="861" t="s">
        <v>1051</v>
      </c>
      <c r="E977" s="257" t="s">
        <v>1057</v>
      </c>
      <c r="F977" s="862">
        <f>F976/C977</f>
        <v>304.23833333333334</v>
      </c>
      <c r="G977" s="260"/>
      <c r="H977" s="260"/>
      <c r="I977" s="260"/>
      <c r="J977" s="369"/>
    </row>
    <row r="978" spans="1:10" s="130" customFormat="1" ht="12.75" customHeight="1" thickTop="1" thickBot="1" x14ac:dyDescent="0.25">
      <c r="C978" s="177"/>
      <c r="D978" s="69"/>
      <c r="E978" s="177"/>
      <c r="F978" s="862">
        <f>ROUNDUP(F977,0)</f>
        <v>305</v>
      </c>
      <c r="G978" s="260"/>
      <c r="H978" s="260"/>
      <c r="I978" s="260"/>
      <c r="J978" s="369"/>
    </row>
    <row r="979" spans="1:10" s="130" customFormat="1" ht="11.85" customHeight="1" thickTop="1" thickBot="1" x14ac:dyDescent="0.25">
      <c r="C979" s="177"/>
      <c r="D979" s="69"/>
      <c r="E979" s="177"/>
      <c r="F979" s="177"/>
      <c r="G979" s="260"/>
      <c r="H979" s="260"/>
      <c r="I979" s="260"/>
      <c r="J979" s="369"/>
    </row>
    <row r="980" spans="1:10" s="130" customFormat="1" ht="12.75" customHeight="1" thickTop="1" x14ac:dyDescent="0.2">
      <c r="A980" s="935"/>
      <c r="B980" s="936" t="s">
        <v>1058</v>
      </c>
      <c r="C980" s="798" t="s">
        <v>7</v>
      </c>
      <c r="D980" s="798" t="s">
        <v>933</v>
      </c>
      <c r="E980" s="798" t="s">
        <v>934</v>
      </c>
      <c r="F980" s="799" t="s">
        <v>935</v>
      </c>
      <c r="G980" s="260"/>
      <c r="H980" s="260">
        <v>8</v>
      </c>
      <c r="I980" s="260"/>
      <c r="J980" s="369"/>
    </row>
    <row r="981" spans="1:10" s="130" customFormat="1" ht="12.75" customHeight="1" x14ac:dyDescent="0.2">
      <c r="A981" s="937"/>
      <c r="B981" s="938" t="s">
        <v>1059</v>
      </c>
      <c r="C981" s="939">
        <v>1</v>
      </c>
      <c r="D981" s="807" t="s">
        <v>374</v>
      </c>
      <c r="E981" s="940">
        <v>225</v>
      </c>
      <c r="F981" s="808">
        <f>E981*C981</f>
        <v>225</v>
      </c>
      <c r="G981" s="260"/>
      <c r="H981" s="260">
        <v>650</v>
      </c>
      <c r="I981" s="260">
        <f>H981*H980</f>
        <v>5200</v>
      </c>
      <c r="J981" s="369"/>
    </row>
    <row r="982" spans="1:10" s="130" customFormat="1" ht="12.75" customHeight="1" x14ac:dyDescent="0.2">
      <c r="A982" s="937"/>
      <c r="B982" s="805" t="str">
        <f>CONCATENATE("OPERARIO PLANCHA @,", E39,"/DIA")</f>
        <v>OPERARIO PLANCHA @,1100/DIA</v>
      </c>
      <c r="C982" s="806">
        <v>1</v>
      </c>
      <c r="D982" s="807" t="s">
        <v>374</v>
      </c>
      <c r="E982" s="806">
        <f>E39/8</f>
        <v>137.5</v>
      </c>
      <c r="F982" s="808">
        <f>+E982*C982</f>
        <v>137.5</v>
      </c>
      <c r="G982" s="260"/>
      <c r="H982" s="260">
        <f>H981/H980</f>
        <v>81.25</v>
      </c>
      <c r="I982" s="260"/>
      <c r="J982" s="369"/>
    </row>
    <row r="983" spans="1:10" s="130" customFormat="1" ht="12.75" customHeight="1" x14ac:dyDescent="0.2">
      <c r="A983" s="937"/>
      <c r="B983" s="805" t="str">
        <f>CONCATENATE("PEON (2 U) @,",F42, "/DIA")</f>
        <v>PEON (2 U) @,659/DIA</v>
      </c>
      <c r="C983" s="806">
        <v>3</v>
      </c>
      <c r="D983" s="807" t="s">
        <v>374</v>
      </c>
      <c r="E983" s="806">
        <f>(F42*G983)/8</f>
        <v>164.75</v>
      </c>
      <c r="F983" s="808">
        <f>+E983*C983</f>
        <v>494.25</v>
      </c>
      <c r="G983" s="834">
        <v>2</v>
      </c>
      <c r="H983" s="260"/>
      <c r="I983" s="260"/>
      <c r="J983" s="369"/>
    </row>
    <row r="984" spans="1:10" s="130" customFormat="1" ht="12.75" customHeight="1" x14ac:dyDescent="0.2">
      <c r="A984" s="937"/>
      <c r="B984" s="805" t="s">
        <v>1028</v>
      </c>
      <c r="C984" s="806">
        <v>1</v>
      </c>
      <c r="D984" s="807" t="s">
        <v>933</v>
      </c>
      <c r="E984" s="806">
        <f>0.03*(F982+F983)</f>
        <v>18.952500000000001</v>
      </c>
      <c r="F984" s="808">
        <f>+E984*C984</f>
        <v>18.952500000000001</v>
      </c>
      <c r="G984" s="260"/>
      <c r="H984" s="260"/>
      <c r="I984" s="260"/>
      <c r="J984" s="369"/>
    </row>
    <row r="985" spans="1:10" s="130" customFormat="1" ht="12.75" customHeight="1" x14ac:dyDescent="0.2">
      <c r="A985" s="937"/>
      <c r="B985" s="805"/>
      <c r="C985" s="941"/>
      <c r="D985" s="806"/>
      <c r="E985" s="942" t="s">
        <v>945</v>
      </c>
      <c r="F985" s="814">
        <f>SUM(F981:F984)</f>
        <v>875.70249999999999</v>
      </c>
      <c r="G985" s="260"/>
      <c r="H985" s="260"/>
      <c r="I985" s="260"/>
      <c r="J985" s="369"/>
    </row>
    <row r="986" spans="1:10" s="130" customFormat="1" ht="12.75" customHeight="1" x14ac:dyDescent="0.2">
      <c r="A986" s="937"/>
      <c r="B986" s="943" t="s">
        <v>1060</v>
      </c>
      <c r="C986" s="944">
        <v>58</v>
      </c>
      <c r="D986" s="945"/>
      <c r="E986" s="942" t="s">
        <v>1061</v>
      </c>
      <c r="F986" s="946">
        <f>ROUND(F985/C986,2)</f>
        <v>15.1</v>
      </c>
      <c r="G986" s="260"/>
      <c r="H986" s="260"/>
      <c r="I986" s="260"/>
      <c r="J986" s="369"/>
    </row>
    <row r="987" spans="1:10" s="130" customFormat="1" ht="12.75" customHeight="1" thickBot="1" x14ac:dyDescent="0.25">
      <c r="A987" s="947"/>
      <c r="B987" s="948" t="s">
        <v>1062</v>
      </c>
      <c r="C987" s="949">
        <v>50.8</v>
      </c>
      <c r="D987" s="950"/>
      <c r="E987" s="951" t="s">
        <v>1061</v>
      </c>
      <c r="F987" s="952">
        <f>ROUND(F985/C987,2)</f>
        <v>17.239999999999998</v>
      </c>
      <c r="G987" s="260"/>
      <c r="H987" s="260"/>
      <c r="I987" s="260"/>
      <c r="J987" s="369"/>
    </row>
    <row r="988" spans="1:10" s="130" customFormat="1" ht="11.85" customHeight="1" thickTop="1" x14ac:dyDescent="0.2">
      <c r="C988" s="177"/>
      <c r="D988" s="69"/>
      <c r="E988" s="177"/>
      <c r="F988" s="177"/>
      <c r="G988" s="260"/>
      <c r="H988" s="260"/>
      <c r="I988" s="260"/>
      <c r="J988" s="369"/>
    </row>
    <row r="989" spans="1:10" s="130" customFormat="1" ht="12.75" hidden="1" customHeight="1" thickBot="1" x14ac:dyDescent="0.25">
      <c r="B989" s="196" t="s">
        <v>1063</v>
      </c>
      <c r="C989" s="177"/>
      <c r="D989" s="69"/>
      <c r="E989" s="177"/>
      <c r="F989" s="953"/>
      <c r="G989" s="260"/>
      <c r="H989" s="260"/>
      <c r="I989" s="260"/>
      <c r="J989" s="369"/>
    </row>
    <row r="990" spans="1:10" s="130" customFormat="1" ht="12.75" hidden="1" customHeight="1" thickTop="1" x14ac:dyDescent="0.2">
      <c r="A990" s="646"/>
      <c r="B990" s="160" t="s">
        <v>730</v>
      </c>
      <c r="C990" s="92">
        <v>1.05</v>
      </c>
      <c r="D990" s="249" t="s">
        <v>88</v>
      </c>
      <c r="E990" s="92">
        <f>F195</f>
        <v>6278.2195999999994</v>
      </c>
      <c r="F990" s="268">
        <f>ROUND(C990*E990,2)</f>
        <v>6592.13</v>
      </c>
      <c r="G990" s="260"/>
      <c r="H990" s="260"/>
      <c r="I990" s="260"/>
      <c r="J990" s="369"/>
    </row>
    <row r="991" spans="1:10" s="130" customFormat="1" ht="12.75" hidden="1" customHeight="1" x14ac:dyDescent="0.2">
      <c r="A991" s="640"/>
      <c r="B991" s="162" t="s">
        <v>812</v>
      </c>
      <c r="C991" s="98">
        <v>0.8</v>
      </c>
      <c r="D991" s="250" t="s">
        <v>297</v>
      </c>
      <c r="E991" s="98">
        <f>F383</f>
        <v>2921.65</v>
      </c>
      <c r="F991" s="270">
        <f>ROUND(C991*E991,2)</f>
        <v>2337.3200000000002</v>
      </c>
      <c r="G991" s="260"/>
      <c r="H991" s="260"/>
      <c r="I991" s="260"/>
      <c r="J991" s="369"/>
    </row>
    <row r="992" spans="1:10" s="130" customFormat="1" ht="12.75" hidden="1" customHeight="1" x14ac:dyDescent="0.2">
      <c r="A992" s="954"/>
      <c r="B992" s="251" t="s">
        <v>1064</v>
      </c>
      <c r="C992" s="106">
        <v>8.89</v>
      </c>
      <c r="D992" s="455" t="s">
        <v>41</v>
      </c>
      <c r="E992" s="106">
        <v>80.55</v>
      </c>
      <c r="F992" s="270">
        <f>ROUND(C992*E992,2)</f>
        <v>716.09</v>
      </c>
      <c r="G992" s="260"/>
      <c r="H992" s="260"/>
      <c r="I992" s="260"/>
      <c r="J992" s="369"/>
    </row>
    <row r="993" spans="1:10" s="130" customFormat="1" ht="12.75" hidden="1" customHeight="1" thickBot="1" x14ac:dyDescent="0.25">
      <c r="A993" s="643"/>
      <c r="B993" s="182"/>
      <c r="C993" s="146"/>
      <c r="D993" s="188"/>
      <c r="E993" s="236"/>
      <c r="F993" s="175">
        <f>SUM(F990:F992)</f>
        <v>9645.5400000000009</v>
      </c>
      <c r="G993" s="260"/>
      <c r="H993" s="260"/>
      <c r="I993" s="260"/>
      <c r="J993" s="369"/>
    </row>
    <row r="994" spans="1:10" s="130" customFormat="1" ht="12.75" hidden="1" customHeight="1" thickTop="1" x14ac:dyDescent="0.2">
      <c r="A994" s="644"/>
      <c r="C994" s="132"/>
      <c r="D994" s="261"/>
      <c r="E994" s="185"/>
      <c r="F994" s="263"/>
      <c r="G994" s="260"/>
      <c r="H994" s="260"/>
      <c r="I994" s="260"/>
      <c r="J994" s="369"/>
    </row>
    <row r="995" spans="1:10" s="130" customFormat="1" ht="12.75" hidden="1" customHeight="1" thickBot="1" x14ac:dyDescent="0.25">
      <c r="B995" s="196" t="s">
        <v>1065</v>
      </c>
      <c r="C995" s="177"/>
      <c r="D995" s="69"/>
      <c r="E995" s="177"/>
      <c r="F995" s="177"/>
      <c r="G995" s="260"/>
      <c r="H995" s="260"/>
      <c r="I995" s="260"/>
      <c r="J995" s="369"/>
    </row>
    <row r="996" spans="1:10" s="130" customFormat="1" ht="12.75" hidden="1" customHeight="1" thickTop="1" x14ac:dyDescent="0.2">
      <c r="A996" s="134"/>
      <c r="B996" s="197" t="s">
        <v>154</v>
      </c>
      <c r="C996" s="137">
        <v>12</v>
      </c>
      <c r="D996" s="249" t="s">
        <v>8</v>
      </c>
      <c r="E996" s="137">
        <v>60</v>
      </c>
      <c r="F996" s="955">
        <f t="shared" ref="F996:F1017" si="22">ROUND(C996*E996,2)</f>
        <v>720</v>
      </c>
      <c r="G996" s="260"/>
      <c r="H996" s="260"/>
      <c r="I996" s="260"/>
      <c r="J996" s="369"/>
    </row>
    <row r="997" spans="1:10" s="130" customFormat="1" ht="12.75" hidden="1" customHeight="1" x14ac:dyDescent="0.2">
      <c r="A997" s="126">
        <v>2.7</v>
      </c>
      <c r="B997" s="198" t="s">
        <v>1066</v>
      </c>
      <c r="C997" s="140">
        <v>2.16</v>
      </c>
      <c r="D997" s="250" t="s">
        <v>88</v>
      </c>
      <c r="E997" s="140">
        <v>1181.54</v>
      </c>
      <c r="F997" s="956">
        <f t="shared" si="22"/>
        <v>2552.13</v>
      </c>
      <c r="G997" s="260"/>
      <c r="H997" s="260"/>
      <c r="I997" s="260">
        <f>A997*0.8</f>
        <v>2.16</v>
      </c>
      <c r="J997" s="369"/>
    </row>
    <row r="998" spans="1:10" s="130" customFormat="1" ht="12.75" hidden="1" customHeight="1" x14ac:dyDescent="0.2">
      <c r="A998" s="126"/>
      <c r="B998" s="198" t="s">
        <v>1067</v>
      </c>
      <c r="C998" s="140">
        <v>0.54</v>
      </c>
      <c r="D998" s="250" t="s">
        <v>88</v>
      </c>
      <c r="E998" s="140">
        <v>105.1</v>
      </c>
      <c r="F998" s="956">
        <f t="shared" si="22"/>
        <v>56.75</v>
      </c>
      <c r="G998" s="260"/>
      <c r="H998" s="260"/>
      <c r="I998" s="260">
        <f>A997*0.2</f>
        <v>0.54</v>
      </c>
      <c r="J998" s="369"/>
    </row>
    <row r="999" spans="1:10" s="130" customFormat="1" ht="12.75" hidden="1" customHeight="1" x14ac:dyDescent="0.2">
      <c r="A999" s="126"/>
      <c r="B999" s="198" t="s">
        <v>1068</v>
      </c>
      <c r="C999" s="140">
        <v>1.35</v>
      </c>
      <c r="D999" s="250" t="s">
        <v>88</v>
      </c>
      <c r="E999" s="140">
        <v>70.16</v>
      </c>
      <c r="F999" s="956">
        <f t="shared" si="22"/>
        <v>94.72</v>
      </c>
      <c r="G999" s="260"/>
      <c r="H999" s="260"/>
      <c r="I999" s="260"/>
      <c r="J999" s="369"/>
    </row>
    <row r="1000" spans="1:10" s="130" customFormat="1" ht="12.75" hidden="1" customHeight="1" x14ac:dyDescent="0.2">
      <c r="A1000" s="126"/>
      <c r="B1000" s="198" t="s">
        <v>1069</v>
      </c>
      <c r="C1000" s="140">
        <v>1.62</v>
      </c>
      <c r="D1000" s="250" t="s">
        <v>88</v>
      </c>
      <c r="E1000" s="140">
        <v>75</v>
      </c>
      <c r="F1000" s="956">
        <f t="shared" si="22"/>
        <v>121.5</v>
      </c>
      <c r="G1000" s="260"/>
      <c r="H1000" s="260"/>
      <c r="I1000" s="260"/>
      <c r="J1000" s="369"/>
    </row>
    <row r="1001" spans="1:10" s="130" customFormat="1" ht="12.75" hidden="1" customHeight="1" x14ac:dyDescent="0.2">
      <c r="A1001" s="126"/>
      <c r="B1001" s="198" t="s">
        <v>1070</v>
      </c>
      <c r="C1001" s="140">
        <v>1.35</v>
      </c>
      <c r="D1001" s="250" t="s">
        <v>88</v>
      </c>
      <c r="E1001" s="140">
        <f>F993</f>
        <v>9645.5400000000009</v>
      </c>
      <c r="F1001" s="956">
        <f t="shared" si="22"/>
        <v>13021.48</v>
      </c>
      <c r="G1001" s="260"/>
      <c r="H1001" s="260"/>
      <c r="I1001" s="260"/>
      <c r="J1001" s="369"/>
    </row>
    <row r="1002" spans="1:10" s="130" customFormat="1" ht="12.75" hidden="1" customHeight="1" x14ac:dyDescent="0.2">
      <c r="A1002" s="126"/>
      <c r="B1002" s="198" t="s">
        <v>1071</v>
      </c>
      <c r="C1002" s="140">
        <v>7.68</v>
      </c>
      <c r="D1002" s="250" t="s">
        <v>124</v>
      </c>
      <c r="E1002" s="140">
        <f>F431</f>
        <v>1272.6200000000001</v>
      </c>
      <c r="F1002" s="956">
        <f t="shared" si="22"/>
        <v>9773.7199999999993</v>
      </c>
      <c r="G1002" s="260"/>
      <c r="H1002" s="260"/>
      <c r="I1002" s="260"/>
      <c r="J1002" s="369"/>
    </row>
    <row r="1003" spans="1:10" s="130" customFormat="1" ht="12.75" hidden="1" customHeight="1" x14ac:dyDescent="0.2">
      <c r="A1003" s="126"/>
      <c r="B1003" s="198" t="s">
        <v>1072</v>
      </c>
      <c r="C1003" s="140">
        <v>12</v>
      </c>
      <c r="D1003" s="250" t="s">
        <v>41</v>
      </c>
      <c r="E1003" s="140">
        <f>(F242*0.09)/12</f>
        <v>48.613756499999994</v>
      </c>
      <c r="F1003" s="956">
        <f t="shared" si="22"/>
        <v>583.37</v>
      </c>
      <c r="G1003" s="260"/>
      <c r="H1003" s="260"/>
      <c r="I1003" s="260"/>
      <c r="J1003" s="369"/>
    </row>
    <row r="1004" spans="1:10" s="130" customFormat="1" ht="12.75" hidden="1" customHeight="1" x14ac:dyDescent="0.2">
      <c r="A1004" s="126"/>
      <c r="B1004" s="198" t="s">
        <v>1073</v>
      </c>
      <c r="C1004" s="140">
        <v>4</v>
      </c>
      <c r="D1004" s="250" t="s">
        <v>8</v>
      </c>
      <c r="E1004" s="140">
        <v>562.6</v>
      </c>
      <c r="F1004" s="956">
        <f t="shared" si="22"/>
        <v>2250.4</v>
      </c>
      <c r="G1004" s="260"/>
      <c r="H1004" s="260"/>
      <c r="I1004" s="260"/>
      <c r="J1004" s="369"/>
    </row>
    <row r="1005" spans="1:10" s="130" customFormat="1" ht="12.75" hidden="1" customHeight="1" x14ac:dyDescent="0.2">
      <c r="A1005" s="126"/>
      <c r="B1005" s="198" t="s">
        <v>1074</v>
      </c>
      <c r="C1005" s="140">
        <v>4</v>
      </c>
      <c r="D1005" s="250" t="s">
        <v>8</v>
      </c>
      <c r="E1005" s="140">
        <v>640.67999999999995</v>
      </c>
      <c r="F1005" s="956">
        <f t="shared" si="22"/>
        <v>2562.7199999999998</v>
      </c>
      <c r="G1005" s="260"/>
      <c r="H1005" s="260"/>
      <c r="I1005" s="260"/>
      <c r="J1005" s="369"/>
    </row>
    <row r="1006" spans="1:10" s="130" customFormat="1" ht="12.75" hidden="1" customHeight="1" x14ac:dyDescent="0.2">
      <c r="A1006" s="126"/>
      <c r="B1006" s="198" t="s">
        <v>1075</v>
      </c>
      <c r="C1006" s="140">
        <v>2</v>
      </c>
      <c r="D1006" s="250" t="s">
        <v>8</v>
      </c>
      <c r="E1006" s="140">
        <v>54.5</v>
      </c>
      <c r="F1006" s="956">
        <f t="shared" si="22"/>
        <v>109</v>
      </c>
      <c r="G1006" s="260"/>
      <c r="H1006" s="260"/>
      <c r="I1006" s="260"/>
      <c r="J1006" s="369"/>
    </row>
    <row r="1007" spans="1:10" s="130" customFormat="1" ht="12.75" hidden="1" customHeight="1" x14ac:dyDescent="0.2">
      <c r="A1007" s="126"/>
      <c r="B1007" s="198" t="s">
        <v>1076</v>
      </c>
      <c r="C1007" s="140">
        <v>3</v>
      </c>
      <c r="D1007" s="250" t="s">
        <v>8</v>
      </c>
      <c r="E1007" s="140">
        <v>50.16</v>
      </c>
      <c r="F1007" s="956">
        <f t="shared" si="22"/>
        <v>150.47999999999999</v>
      </c>
      <c r="G1007" s="260"/>
      <c r="H1007" s="260"/>
      <c r="I1007" s="260"/>
      <c r="J1007" s="369"/>
    </row>
    <row r="1008" spans="1:10" s="130" customFormat="1" ht="12.75" hidden="1" customHeight="1" x14ac:dyDescent="0.2">
      <c r="A1008" s="126"/>
      <c r="B1008" s="198" t="s">
        <v>1077</v>
      </c>
      <c r="C1008" s="140">
        <v>2</v>
      </c>
      <c r="D1008" s="250" t="s">
        <v>8</v>
      </c>
      <c r="E1008" s="140">
        <v>272.58999999999997</v>
      </c>
      <c r="F1008" s="956">
        <f t="shared" si="22"/>
        <v>545.17999999999995</v>
      </c>
      <c r="G1008" s="260"/>
      <c r="H1008" s="260"/>
      <c r="I1008" s="260"/>
      <c r="J1008" s="369"/>
    </row>
    <row r="1009" spans="1:10" s="130" customFormat="1" ht="12.75" hidden="1" customHeight="1" x14ac:dyDescent="0.2">
      <c r="A1009" s="126"/>
      <c r="B1009" s="198" t="s">
        <v>1078</v>
      </c>
      <c r="C1009" s="140">
        <v>10</v>
      </c>
      <c r="D1009" s="250" t="s">
        <v>8</v>
      </c>
      <c r="E1009" s="140">
        <v>22.93</v>
      </c>
      <c r="F1009" s="956">
        <f t="shared" si="22"/>
        <v>229.3</v>
      </c>
      <c r="G1009" s="260"/>
      <c r="H1009" s="260"/>
      <c r="I1009" s="260"/>
      <c r="J1009" s="369"/>
    </row>
    <row r="1010" spans="1:10" s="130" customFormat="1" ht="12.75" hidden="1" customHeight="1" x14ac:dyDescent="0.2">
      <c r="A1010" s="126"/>
      <c r="B1010" s="198" t="s">
        <v>1079</v>
      </c>
      <c r="C1010" s="140">
        <v>21.6</v>
      </c>
      <c r="D1010" s="250" t="s">
        <v>124</v>
      </c>
      <c r="E1010" s="140">
        <v>243.9</v>
      </c>
      <c r="F1010" s="956">
        <f t="shared" si="22"/>
        <v>5268.24</v>
      </c>
      <c r="G1010" s="260"/>
      <c r="H1010" s="260">
        <f>12*1.8</f>
        <v>21.6</v>
      </c>
      <c r="I1010" s="260"/>
      <c r="J1010" s="369"/>
    </row>
    <row r="1011" spans="1:10" s="130" customFormat="1" ht="12.75" hidden="1" customHeight="1" x14ac:dyDescent="0.2">
      <c r="A1011" s="126"/>
      <c r="B1011" s="198" t="s">
        <v>1080</v>
      </c>
      <c r="C1011" s="140">
        <v>4</v>
      </c>
      <c r="D1011" s="250" t="s">
        <v>8</v>
      </c>
      <c r="E1011" s="140">
        <v>197</v>
      </c>
      <c r="F1011" s="956">
        <f t="shared" si="22"/>
        <v>788</v>
      </c>
      <c r="G1011" s="260"/>
      <c r="H1011" s="260"/>
      <c r="I1011" s="260"/>
      <c r="J1011" s="369"/>
    </row>
    <row r="1012" spans="1:10" s="130" customFormat="1" ht="12.75" hidden="1" customHeight="1" x14ac:dyDescent="0.2">
      <c r="A1012" s="126"/>
      <c r="B1012" s="198" t="s">
        <v>1081</v>
      </c>
      <c r="C1012" s="140">
        <v>1</v>
      </c>
      <c r="D1012" s="250" t="s">
        <v>325</v>
      </c>
      <c r="E1012" s="140">
        <v>32</v>
      </c>
      <c r="F1012" s="956">
        <f t="shared" si="22"/>
        <v>32</v>
      </c>
      <c r="G1012" s="260"/>
      <c r="H1012" s="260"/>
      <c r="I1012" s="260"/>
      <c r="J1012" s="369"/>
    </row>
    <row r="1013" spans="1:10" s="130" customFormat="1" ht="12.75" hidden="1" customHeight="1" x14ac:dyDescent="0.2">
      <c r="A1013" s="126"/>
      <c r="B1013" s="198" t="s">
        <v>1082</v>
      </c>
      <c r="C1013" s="140">
        <v>72</v>
      </c>
      <c r="D1013" s="250" t="s">
        <v>41</v>
      </c>
      <c r="E1013" s="140">
        <v>6.5</v>
      </c>
      <c r="F1013" s="956">
        <f t="shared" si="22"/>
        <v>468</v>
      </c>
      <c r="G1013" s="260"/>
      <c r="H1013" s="260"/>
      <c r="I1013" s="260"/>
      <c r="J1013" s="369"/>
    </row>
    <row r="1014" spans="1:10" s="130" customFormat="1" ht="12.75" hidden="1" customHeight="1" x14ac:dyDescent="0.2">
      <c r="A1014" s="126"/>
      <c r="B1014" s="198" t="s">
        <v>1083</v>
      </c>
      <c r="C1014" s="140">
        <v>9.6</v>
      </c>
      <c r="D1014" s="250" t="s">
        <v>124</v>
      </c>
      <c r="E1014" s="140">
        <f>F311</f>
        <v>380.97</v>
      </c>
      <c r="F1014" s="956">
        <f t="shared" si="22"/>
        <v>3657.31</v>
      </c>
      <c r="G1014" s="260"/>
      <c r="H1014" s="260"/>
      <c r="I1014" s="260"/>
      <c r="J1014" s="369"/>
    </row>
    <row r="1015" spans="1:10" s="130" customFormat="1" ht="12.75" hidden="1" customHeight="1" x14ac:dyDescent="0.2">
      <c r="A1015" s="126"/>
      <c r="B1015" s="198" t="s">
        <v>1084</v>
      </c>
      <c r="C1015" s="140">
        <v>34.200000000000003</v>
      </c>
      <c r="D1015" s="250" t="s">
        <v>124</v>
      </c>
      <c r="E1015" s="140">
        <v>130.5</v>
      </c>
      <c r="F1015" s="956">
        <f t="shared" si="22"/>
        <v>4463.1000000000004</v>
      </c>
      <c r="G1015" s="260"/>
      <c r="H1015" s="260"/>
      <c r="I1015" s="260"/>
      <c r="J1015" s="369"/>
    </row>
    <row r="1016" spans="1:10" s="130" customFormat="1" ht="12.75" hidden="1" customHeight="1" x14ac:dyDescent="0.2">
      <c r="A1016" s="126"/>
      <c r="B1016" s="198" t="s">
        <v>1085</v>
      </c>
      <c r="C1016" s="140">
        <v>12.48</v>
      </c>
      <c r="D1016" s="250" t="s">
        <v>124</v>
      </c>
      <c r="E1016" s="140">
        <v>130.5</v>
      </c>
      <c r="F1016" s="956">
        <f t="shared" si="22"/>
        <v>1628.64</v>
      </c>
      <c r="G1016" s="260"/>
      <c r="H1016" s="260"/>
      <c r="I1016" s="260"/>
      <c r="J1016" s="369"/>
    </row>
    <row r="1017" spans="1:10" s="130" customFormat="1" ht="12.75" hidden="1" customHeight="1" x14ac:dyDescent="0.2">
      <c r="A1017" s="126"/>
      <c r="B1017" s="198" t="s">
        <v>528</v>
      </c>
      <c r="C1017" s="140">
        <v>12</v>
      </c>
      <c r="D1017" s="250" t="s">
        <v>41</v>
      </c>
      <c r="E1017" s="140">
        <f>F1029</f>
        <v>418.05882352941177</v>
      </c>
      <c r="F1017" s="956">
        <f t="shared" si="22"/>
        <v>5016.71</v>
      </c>
      <c r="G1017" s="260"/>
      <c r="H1017" s="260"/>
      <c r="I1017" s="260"/>
      <c r="J1017" s="369"/>
    </row>
    <row r="1018" spans="1:10" s="130" customFormat="1" ht="12.75" hidden="1" customHeight="1" thickBot="1" x14ac:dyDescent="0.25">
      <c r="A1018" s="414"/>
      <c r="B1018" s="957"/>
      <c r="C1018" s="458"/>
      <c r="D1018" s="455"/>
      <c r="E1018" s="958" t="s">
        <v>1086</v>
      </c>
      <c r="F1018" s="959">
        <f>SUM(F996:F1017)</f>
        <v>54092.749999999993</v>
      </c>
      <c r="G1018" s="260"/>
      <c r="H1018" s="260"/>
      <c r="I1018" s="260"/>
      <c r="J1018" s="369"/>
    </row>
    <row r="1019" spans="1:10" s="130" customFormat="1" ht="12.75" hidden="1" customHeight="1" thickTop="1" x14ac:dyDescent="0.2">
      <c r="A1019" s="134"/>
      <c r="B1019" s="960" t="s">
        <v>1087</v>
      </c>
      <c r="C1019" s="137"/>
      <c r="D1019" s="249"/>
      <c r="E1019" s="961" t="s">
        <v>1088</v>
      </c>
      <c r="F1019" s="962">
        <f>F1018/12</f>
        <v>4507.7291666666661</v>
      </c>
      <c r="G1019" s="260"/>
      <c r="H1019" s="260"/>
      <c r="I1019" s="260"/>
      <c r="J1019" s="369"/>
    </row>
    <row r="1020" spans="1:10" s="130" customFormat="1" ht="12.75" hidden="1" customHeight="1" thickBot="1" x14ac:dyDescent="0.25">
      <c r="A1020" s="232"/>
      <c r="B1020" s="918" t="s">
        <v>1089</v>
      </c>
      <c r="C1020" s="284"/>
      <c r="D1020" s="285"/>
      <c r="E1020" s="963" t="s">
        <v>1088</v>
      </c>
      <c r="F1020" s="919">
        <f>((F1018-F1013)+((F1033+F1035+F1036)))/12</f>
        <v>4573.7124999999996</v>
      </c>
      <c r="G1020" s="260"/>
      <c r="H1020" s="260"/>
      <c r="I1020" s="260"/>
      <c r="J1020" s="369"/>
    </row>
    <row r="1021" spans="1:10" s="130" customFormat="1" ht="6.75" hidden="1" customHeight="1" thickTop="1" x14ac:dyDescent="0.2">
      <c r="A1021" s="205"/>
      <c r="B1021" s="205"/>
      <c r="C1021" s="904"/>
      <c r="D1021" s="905"/>
      <c r="E1021" s="904"/>
      <c r="F1021" s="904"/>
      <c r="G1021" s="260"/>
      <c r="H1021" s="260"/>
      <c r="I1021" s="260"/>
      <c r="J1021" s="369"/>
    </row>
    <row r="1022" spans="1:10" s="130" customFormat="1" ht="8.25" hidden="1" customHeight="1" x14ac:dyDescent="0.2">
      <c r="A1022" s="205"/>
      <c r="B1022" s="205"/>
      <c r="C1022" s="904"/>
      <c r="D1022" s="905"/>
      <c r="E1022" s="904"/>
      <c r="F1022" s="904"/>
      <c r="G1022" s="260"/>
      <c r="H1022" s="260"/>
      <c r="I1022" s="260"/>
      <c r="J1022" s="369"/>
    </row>
    <row r="1023" spans="1:10" s="130" customFormat="1" ht="12.75" hidden="1" customHeight="1" thickBot="1" x14ac:dyDescent="0.25">
      <c r="A1023" s="205"/>
      <c r="B1023" s="211" t="s">
        <v>1090</v>
      </c>
      <c r="C1023" s="904"/>
      <c r="D1023" s="905"/>
      <c r="E1023" s="904"/>
      <c r="F1023" s="904"/>
      <c r="G1023" s="260"/>
      <c r="H1023" s="260"/>
      <c r="I1023" s="260"/>
      <c r="J1023" s="369"/>
    </row>
    <row r="1024" spans="1:10" s="130" customFormat="1" ht="12.75" hidden="1" customHeight="1" thickTop="1" x14ac:dyDescent="0.2">
      <c r="A1024" s="276"/>
      <c r="B1024" s="213" t="s">
        <v>1091</v>
      </c>
      <c r="C1024" s="216">
        <v>1</v>
      </c>
      <c r="D1024" s="277" t="s">
        <v>343</v>
      </c>
      <c r="E1024" s="216">
        <v>1200</v>
      </c>
      <c r="F1024" s="955">
        <f>ROUND(C1024*E1024,2)</f>
        <v>1200</v>
      </c>
      <c r="G1024" s="260"/>
      <c r="H1024" s="260"/>
      <c r="I1024" s="260"/>
      <c r="J1024" s="369"/>
    </row>
    <row r="1025" spans="1:12" s="130" customFormat="1" ht="12.75" hidden="1" customHeight="1" x14ac:dyDescent="0.2">
      <c r="A1025" s="228"/>
      <c r="B1025" s="218" t="s">
        <v>1092</v>
      </c>
      <c r="C1025" s="221">
        <v>1</v>
      </c>
      <c r="D1025" s="280" t="s">
        <v>343</v>
      </c>
      <c r="E1025" s="221">
        <v>950</v>
      </c>
      <c r="F1025" s="956">
        <f>ROUND(C1025*E1025,2)</f>
        <v>950</v>
      </c>
      <c r="G1025" s="260"/>
      <c r="H1025" s="260"/>
      <c r="I1025" s="260"/>
      <c r="J1025" s="369"/>
    </row>
    <row r="1026" spans="1:12" s="130" customFormat="1" ht="12.75" hidden="1" customHeight="1" x14ac:dyDescent="0.2">
      <c r="A1026" s="228"/>
      <c r="B1026" s="218" t="s">
        <v>1093</v>
      </c>
      <c r="C1026" s="221">
        <v>1</v>
      </c>
      <c r="D1026" s="280" t="s">
        <v>343</v>
      </c>
      <c r="E1026" s="221">
        <v>1300</v>
      </c>
      <c r="F1026" s="956">
        <f>ROUND(C1026*E1026,2)</f>
        <v>1300</v>
      </c>
      <c r="G1026" s="260"/>
      <c r="H1026" s="260"/>
      <c r="I1026" s="260"/>
      <c r="J1026" s="369"/>
    </row>
    <row r="1027" spans="1:12" s="130" customFormat="1" ht="12.75" hidden="1" customHeight="1" x14ac:dyDescent="0.2">
      <c r="A1027" s="228"/>
      <c r="B1027" s="218" t="s">
        <v>846</v>
      </c>
      <c r="C1027" s="221">
        <v>3</v>
      </c>
      <c r="D1027" s="280" t="s">
        <v>234</v>
      </c>
      <c r="E1027" s="221">
        <f>SUM(F1024:F1026)</f>
        <v>3450</v>
      </c>
      <c r="F1027" s="956">
        <f>ROUND(C1027*E1027,2)/100</f>
        <v>103.5</v>
      </c>
      <c r="G1027" s="260"/>
      <c r="H1027" s="260"/>
      <c r="I1027" s="260"/>
      <c r="J1027" s="369"/>
    </row>
    <row r="1028" spans="1:12" s="130" customFormat="1" ht="12.75" hidden="1" customHeight="1" x14ac:dyDescent="0.2">
      <c r="A1028" s="228"/>
      <c r="B1028" s="218" t="s">
        <v>420</v>
      </c>
      <c r="C1028" s="221">
        <v>8.5</v>
      </c>
      <c r="D1028" s="280" t="s">
        <v>1094</v>
      </c>
      <c r="E1028" s="964" t="s">
        <v>1086</v>
      </c>
      <c r="F1028" s="965">
        <f>SUM(F1024:F1027)</f>
        <v>3553.5</v>
      </c>
      <c r="G1028" s="260"/>
      <c r="H1028" s="260"/>
      <c r="I1028" s="260"/>
      <c r="J1028" s="369"/>
    </row>
    <row r="1029" spans="1:12" s="130" customFormat="1" ht="12.75" hidden="1" customHeight="1" thickBot="1" x14ac:dyDescent="0.25">
      <c r="A1029" s="232"/>
      <c r="B1029" s="233"/>
      <c r="C1029" s="284"/>
      <c r="D1029" s="285"/>
      <c r="E1029" s="963" t="s">
        <v>1088</v>
      </c>
      <c r="F1029" s="919">
        <f>F1028/C1028</f>
        <v>418.05882352941177</v>
      </c>
      <c r="G1029" s="260"/>
      <c r="H1029" s="260"/>
      <c r="I1029" s="260"/>
      <c r="J1029" s="369"/>
    </row>
    <row r="1030" spans="1:12" s="130" customFormat="1" ht="12.75" hidden="1" customHeight="1" thickTop="1" thickBot="1" x14ac:dyDescent="0.25">
      <c r="A1030" s="927"/>
      <c r="B1030" s="966" t="s">
        <v>1095</v>
      </c>
      <c r="C1030" s="929">
        <v>20</v>
      </c>
      <c r="D1030" s="930" t="s">
        <v>1094</v>
      </c>
      <c r="E1030" s="967"/>
      <c r="F1030" s="968">
        <f>F1028/C1030</f>
        <v>177.67500000000001</v>
      </c>
      <c r="G1030" s="260"/>
      <c r="H1030" s="260"/>
      <c r="I1030" s="260"/>
      <c r="J1030" s="369"/>
    </row>
    <row r="1031" spans="1:12" s="130" customFormat="1" ht="12.75" hidden="1" customHeight="1" thickTop="1" x14ac:dyDescent="0.2">
      <c r="A1031" s="205"/>
      <c r="B1031" s="205"/>
      <c r="C1031" s="904"/>
      <c r="D1031" s="905"/>
      <c r="E1031" s="904"/>
      <c r="F1031" s="904"/>
      <c r="G1031" s="260"/>
      <c r="H1031" s="260"/>
      <c r="I1031" s="260"/>
      <c r="J1031" s="369"/>
    </row>
    <row r="1032" spans="1:12" s="130" customFormat="1" ht="12.75" hidden="1" customHeight="1" thickBot="1" x14ac:dyDescent="0.25">
      <c r="A1032" s="205"/>
      <c r="B1032" s="969" t="s">
        <v>1096</v>
      </c>
      <c r="C1032" s="970">
        <v>12</v>
      </c>
      <c r="D1032" s="971" t="s">
        <v>1097</v>
      </c>
      <c r="E1032" s="972"/>
      <c r="F1032" s="972"/>
      <c r="G1032" s="260"/>
      <c r="H1032" s="260"/>
      <c r="I1032" s="260"/>
      <c r="J1032" s="369"/>
    </row>
    <row r="1033" spans="1:12" s="130" customFormat="1" ht="12.75" hidden="1" customHeight="1" thickTop="1" x14ac:dyDescent="0.2">
      <c r="A1033" s="276"/>
      <c r="B1033" s="973" t="s">
        <v>1098</v>
      </c>
      <c r="C1033" s="974">
        <v>12</v>
      </c>
      <c r="D1033" s="975" t="s">
        <v>41</v>
      </c>
      <c r="E1033" s="976">
        <v>101.64</v>
      </c>
      <c r="F1033" s="977">
        <f>ROUND(C1033*E1033,2)</f>
        <v>1219.68</v>
      </c>
      <c r="G1033" s="260"/>
      <c r="H1033" s="260"/>
      <c r="I1033" s="260"/>
      <c r="J1033" s="369"/>
    </row>
    <row r="1034" spans="1:12" s="130" customFormat="1" ht="12.75" hidden="1" customHeight="1" x14ac:dyDescent="0.2">
      <c r="A1034" s="228"/>
      <c r="B1034" s="978" t="s">
        <v>1099</v>
      </c>
      <c r="C1034" s="979">
        <v>4</v>
      </c>
      <c r="D1034" s="980" t="s">
        <v>8</v>
      </c>
      <c r="E1034" s="979">
        <f>E1011</f>
        <v>197</v>
      </c>
      <c r="F1034" s="981">
        <f>ROUND(C1034*E1034,2)</f>
        <v>788</v>
      </c>
      <c r="G1034" s="260"/>
      <c r="H1034" s="260"/>
      <c r="I1034" s="260"/>
      <c r="J1034" s="369"/>
    </row>
    <row r="1035" spans="1:12" s="130" customFormat="1" ht="12.75" hidden="1" customHeight="1" x14ac:dyDescent="0.2">
      <c r="A1035" s="228"/>
      <c r="B1035" s="978" t="s">
        <v>1100</v>
      </c>
      <c r="C1035" s="979">
        <v>36</v>
      </c>
      <c r="D1035" s="980" t="s">
        <v>41</v>
      </c>
      <c r="E1035" s="979">
        <v>0.67</v>
      </c>
      <c r="F1035" s="981">
        <f>ROUND(C1035*E1035,2)</f>
        <v>24.12</v>
      </c>
      <c r="G1035" s="260"/>
      <c r="H1035" s="260"/>
      <c r="I1035" s="260"/>
      <c r="J1035" s="369"/>
    </row>
    <row r="1036" spans="1:12" s="130" customFormat="1" ht="12.75" hidden="1" customHeight="1" x14ac:dyDescent="0.2">
      <c r="A1036" s="228"/>
      <c r="B1036" s="978" t="s">
        <v>1101</v>
      </c>
      <c r="C1036" s="982">
        <v>0.5</v>
      </c>
      <c r="D1036" s="980" t="s">
        <v>325</v>
      </c>
      <c r="E1036" s="979">
        <f>E1012</f>
        <v>32</v>
      </c>
      <c r="F1036" s="981">
        <f>ROUND(C1036*E1036,2)</f>
        <v>16</v>
      </c>
      <c r="G1036" s="260"/>
      <c r="H1036" s="260"/>
      <c r="I1036" s="260">
        <v>36</v>
      </c>
      <c r="J1036" s="369">
        <v>32</v>
      </c>
      <c r="L1036" s="130">
        <v>39</v>
      </c>
    </row>
    <row r="1037" spans="1:12" s="130" customFormat="1" ht="12.75" hidden="1" customHeight="1" x14ac:dyDescent="0.2">
      <c r="A1037" s="228"/>
      <c r="B1037" s="978" t="s">
        <v>528</v>
      </c>
      <c r="C1037" s="982">
        <v>12</v>
      </c>
      <c r="D1037" s="980" t="s">
        <v>41</v>
      </c>
      <c r="E1037" s="979">
        <v>125</v>
      </c>
      <c r="F1037" s="981">
        <f>ROUND(C1037*E1037,2)</f>
        <v>1500</v>
      </c>
      <c r="G1037" s="260"/>
      <c r="H1037" s="260"/>
      <c r="I1037" s="260">
        <v>47.85</v>
      </c>
      <c r="J1037" s="983">
        <f>1/47.85</f>
        <v>2.0898641588296761E-2</v>
      </c>
      <c r="L1037" s="130">
        <f>L1036*0.2</f>
        <v>7.8000000000000007</v>
      </c>
    </row>
    <row r="1038" spans="1:12" s="130" customFormat="1" ht="12.75" hidden="1" customHeight="1" thickBot="1" x14ac:dyDescent="0.25">
      <c r="A1038" s="228"/>
      <c r="B1038" s="910"/>
      <c r="C1038" s="984"/>
      <c r="D1038" s="985"/>
      <c r="E1038" s="986" t="s">
        <v>1102</v>
      </c>
      <c r="F1038" s="987">
        <f>SUM(F1033:F1037)</f>
        <v>3547.8</v>
      </c>
      <c r="G1038" s="260"/>
      <c r="H1038" s="260"/>
      <c r="I1038" s="260">
        <f>I1036/I1037</f>
        <v>0.75235109717868331</v>
      </c>
      <c r="J1038" s="369">
        <f>J1037*32</f>
        <v>0.66875653082549635</v>
      </c>
      <c r="L1038" s="130">
        <f>L1037/47.85</f>
        <v>0.16300940438871475</v>
      </c>
    </row>
    <row r="1039" spans="1:12" s="130" customFormat="1" ht="12.75" hidden="1" customHeight="1" thickTop="1" thickBot="1" x14ac:dyDescent="0.25">
      <c r="A1039" s="232"/>
      <c r="B1039" s="988"/>
      <c r="C1039" s="988"/>
      <c r="D1039" s="988"/>
      <c r="E1039" s="986" t="s">
        <v>1103</v>
      </c>
      <c r="F1039" s="989">
        <f>F1038/C1032</f>
        <v>295.65000000000003</v>
      </c>
      <c r="G1039" s="260"/>
      <c r="H1039" s="260"/>
      <c r="I1039" s="260"/>
      <c r="J1039" s="369"/>
      <c r="L1039" s="130">
        <f>L1038*1.25</f>
        <v>0.20376175548589343</v>
      </c>
    </row>
    <row r="1040" spans="1:12" s="130" customFormat="1" ht="12.75" hidden="1" customHeight="1" thickTop="1" x14ac:dyDescent="0.2">
      <c r="A1040" s="205"/>
      <c r="B1040" s="205"/>
      <c r="C1040" s="904"/>
      <c r="D1040" s="905"/>
      <c r="E1040" s="904"/>
      <c r="F1040" s="904"/>
      <c r="G1040" s="260"/>
      <c r="H1040" s="260"/>
      <c r="I1040" s="260"/>
      <c r="J1040" s="369"/>
    </row>
    <row r="1042" spans="1:14" ht="13.5" hidden="1" customHeight="1" x14ac:dyDescent="0.2">
      <c r="A1042" s="1739" t="s">
        <v>1104</v>
      </c>
      <c r="B1042" s="1739"/>
      <c r="C1042" s="1739"/>
      <c r="D1042" s="1739"/>
      <c r="E1042" s="1739"/>
      <c r="F1042" s="1739"/>
      <c r="H1042" s="1739" t="s">
        <v>1104</v>
      </c>
      <c r="I1042" s="1739"/>
      <c r="J1042" s="1739"/>
      <c r="K1042" s="1739"/>
      <c r="L1042" s="1739"/>
      <c r="M1042" s="1739"/>
    </row>
    <row r="1043" spans="1:14" ht="11.85" hidden="1" customHeight="1" x14ac:dyDescent="0.2">
      <c r="A1043" s="210" t="s">
        <v>1105</v>
      </c>
      <c r="B1043" s="990" t="s">
        <v>1106</v>
      </c>
      <c r="C1043" s="991">
        <v>2.65</v>
      </c>
      <c r="D1043" s="905"/>
      <c r="E1043" s="904"/>
      <c r="F1043" s="904"/>
      <c r="H1043" s="210" t="s">
        <v>1105</v>
      </c>
      <c r="I1043" s="990" t="s">
        <v>1106</v>
      </c>
      <c r="J1043" s="991">
        <v>2.65</v>
      </c>
      <c r="K1043" s="905"/>
      <c r="L1043" s="904"/>
      <c r="M1043" s="904"/>
    </row>
    <row r="1044" spans="1:14" ht="12.75" hidden="1" customHeight="1" thickBot="1" x14ac:dyDescent="0.25">
      <c r="A1044" s="992">
        <v>280</v>
      </c>
      <c r="B1044" s="211" t="str">
        <f>"ZAPATA DE MUROS "&amp;FIXED(C1044)&amp;" - "&amp;FIXED(C1046)&amp;" QQ/M3"</f>
        <v>ZAPATA DE MUROS 0.70 - 2.46 QQ/M3</v>
      </c>
      <c r="C1044" s="993">
        <v>0.7</v>
      </c>
      <c r="D1044" s="905"/>
      <c r="E1044" s="994" t="s">
        <v>1107</v>
      </c>
      <c r="F1044" s="995" t="s">
        <v>547</v>
      </c>
      <c r="H1044" s="992">
        <v>280</v>
      </c>
      <c r="I1044" s="211" t="str">
        <f>"ZAPATA DE MUROS "&amp;FIXED(J1044)&amp;" - "&amp;FIXED(J1046)&amp;" QQ/M3"</f>
        <v>ZAPATA DE MUROS 0.70 - 2.46 QQ/M3</v>
      </c>
      <c r="J1044" s="993">
        <v>0.7</v>
      </c>
      <c r="K1044" s="905"/>
      <c r="L1044" s="994" t="s">
        <v>1107</v>
      </c>
      <c r="M1044" s="995" t="s">
        <v>546</v>
      </c>
    </row>
    <row r="1045" spans="1:14" ht="12.75" hidden="1" customHeight="1" thickTop="1" x14ac:dyDescent="0.2">
      <c r="A1045" s="996" t="str">
        <f>IF(F1044=$C$226,ADDRESS(MATCH(E1045,$C$1:$C$231,0),D1049),IF(F1044=$E$226,ADDRESS(MATCH(E1045,$E$1:$E$231,0),D1049),ADDRESS(MATCH(E1045,$F$1:$F$231,0),D1049)))</f>
        <v>$F$164</v>
      </c>
      <c r="B1045" s="213" t="str">
        <f>"HORMIGON "&amp;A1044&amp;" KG/CM2 + "&amp;(C1045-1)*100&amp;" % DESP."</f>
        <v>HORMIGON 280 KG/CM2 + 10 % DESP.</v>
      </c>
      <c r="C1045" s="216">
        <f>IF(F1044="Industrial",1.1,1.05)</f>
        <v>1.1000000000000001</v>
      </c>
      <c r="D1045" s="277" t="s">
        <v>88</v>
      </c>
      <c r="E1045" s="216">
        <f>VLOOKUP(A1044,$A$227:$F$231,D1049,0)</f>
        <v>9500</v>
      </c>
      <c r="F1045" s="977">
        <f>ROUND(C1045*E1045,2)</f>
        <v>10450</v>
      </c>
      <c r="H1045" s="996" t="e">
        <f>IF(M1044=$C$226,ADDRESS(MATCH(L1045,$C$1:$C$231,0),K1049),IF(M1044=$E$226,ADDRESS(MATCH(L1045,$E$1:$E$231,0),K1049),ADDRESS(MATCH(L1045,$F$1:$F$231,0),K1049)))</f>
        <v>#N/A</v>
      </c>
      <c r="I1045" s="213" t="str">
        <f>"HORMIGON "&amp;H1044&amp;" KG/CM2 + "&amp;(J1045-1)*100&amp;" % DESP."</f>
        <v>HORMIGON 280 KG/CM2 + 10 % DESP.</v>
      </c>
      <c r="J1045" s="216">
        <v>1.1000000000000001</v>
      </c>
      <c r="K1045" s="277" t="s">
        <v>88</v>
      </c>
      <c r="L1045" s="216">
        <v>9500</v>
      </c>
      <c r="M1045" s="977">
        <f>ROUND(J1045*L1045,2)</f>
        <v>10450</v>
      </c>
    </row>
    <row r="1046" spans="1:14" ht="12.75" hidden="1" customHeight="1" x14ac:dyDescent="0.2">
      <c r="A1046" s="217" t="str">
        <f>"F-"&amp;ROW(F383)</f>
        <v>F-383</v>
      </c>
      <c r="B1046" s="218" t="s">
        <v>1108</v>
      </c>
      <c r="C1046" s="997">
        <v>2.46</v>
      </c>
      <c r="D1046" s="280" t="s">
        <v>297</v>
      </c>
      <c r="E1046" s="221">
        <f>F378</f>
        <v>3245.28</v>
      </c>
      <c r="F1046" s="981">
        <f>ROUND(C1046*E1046,2)</f>
        <v>7983.39</v>
      </c>
      <c r="H1046" s="217" t="str">
        <f>"F-"&amp;ROW(M383)</f>
        <v>F-383</v>
      </c>
      <c r="I1046" s="218" t="s">
        <v>1108</v>
      </c>
      <c r="J1046" s="997">
        <v>2.46</v>
      </c>
      <c r="K1046" s="280" t="s">
        <v>297</v>
      </c>
      <c r="L1046" s="221">
        <f>+E1046</f>
        <v>3245.28</v>
      </c>
      <c r="M1046" s="981">
        <f>ROUND(J1046*L1046,2)</f>
        <v>7983.39</v>
      </c>
    </row>
    <row r="1047" spans="1:14" ht="12.75" hidden="1" customHeight="1" x14ac:dyDescent="0.2">
      <c r="A1047" s="217" t="str">
        <f>"F-"&amp;ROW(F533)</f>
        <v>F-533</v>
      </c>
      <c r="B1047" s="998" t="s">
        <v>1109</v>
      </c>
      <c r="C1047" s="999">
        <v>1</v>
      </c>
      <c r="D1047" s="755" t="s">
        <v>88</v>
      </c>
      <c r="E1047" s="999">
        <f>VLOOKUP(A1044,$A$547:$F$551,6,0)</f>
        <v>903.63</v>
      </c>
      <c r="F1047" s="981">
        <f>ROUND(C1047*E1047,2)</f>
        <v>903.63</v>
      </c>
      <c r="H1047" s="217" t="str">
        <f>"F-"&amp;ROW(M533)</f>
        <v>F-533</v>
      </c>
      <c r="I1047" s="998" t="s">
        <v>1109</v>
      </c>
      <c r="J1047" s="999">
        <v>1</v>
      </c>
      <c r="K1047" s="755" t="s">
        <v>88</v>
      </c>
      <c r="L1047" s="999">
        <f>VLOOKUP(H1044,$A$547:$F$551,6,0)</f>
        <v>903.63</v>
      </c>
      <c r="M1047" s="981">
        <f>ROUND(J1047*L1047,2)</f>
        <v>903.63</v>
      </c>
    </row>
    <row r="1048" spans="1:14" ht="12.75" hidden="1" customHeight="1" x14ac:dyDescent="0.2">
      <c r="A1048" s="217" t="str">
        <f>"F-"&amp;ROW(F529)</f>
        <v>F-529</v>
      </c>
      <c r="B1048" s="998" t="s">
        <v>1110</v>
      </c>
      <c r="C1048" s="999">
        <v>1</v>
      </c>
      <c r="D1048" s="755" t="s">
        <v>88</v>
      </c>
      <c r="E1048" s="999"/>
      <c r="F1048" s="981">
        <f>ROUND(C1048*E1048,2)</f>
        <v>0</v>
      </c>
      <c r="H1048" s="217" t="str">
        <f>"F-"&amp;ROW(M529)</f>
        <v>F-529</v>
      </c>
      <c r="I1048" s="1733" t="s">
        <v>1111</v>
      </c>
      <c r="J1048" s="999">
        <v>1</v>
      </c>
      <c r="K1048" s="755" t="s">
        <v>88</v>
      </c>
      <c r="L1048" s="999">
        <v>1000</v>
      </c>
      <c r="M1048" s="981">
        <f>ROUND(J1048*L1048,2)</f>
        <v>1000</v>
      </c>
    </row>
    <row r="1049" spans="1:14" ht="12.75" hidden="1" customHeight="1" thickBot="1" x14ac:dyDescent="0.25">
      <c r="A1049" s="232"/>
      <c r="B1049" s="233"/>
      <c r="C1049" s="1000"/>
      <c r="D1049" s="285">
        <f>IF(F1044="Industrial",6,IF(F1044="c/ligadora",5,3))</f>
        <v>6</v>
      </c>
      <c r="E1049" s="606" t="s">
        <v>772</v>
      </c>
      <c r="F1049" s="1001">
        <f>ROUND(SUM(F1045:F1048),2)</f>
        <v>19337.02</v>
      </c>
      <c r="H1049" s="232"/>
      <c r="I1049" s="1734"/>
      <c r="J1049" s="1000"/>
      <c r="K1049" s="285">
        <f>IF(M1044="Industrial",6,IF(M1044="c/ligadora",5,3))</f>
        <v>5</v>
      </c>
      <c r="L1049" s="606" t="s">
        <v>772</v>
      </c>
      <c r="M1049" s="1001">
        <f>ROUND(SUM(M1045:M1048),2)</f>
        <v>20337.02</v>
      </c>
    </row>
    <row r="1050" spans="1:14" ht="12.75" hidden="1" customHeight="1" thickTop="1" x14ac:dyDescent="0.2">
      <c r="A1050" s="205"/>
      <c r="B1050" s="205"/>
      <c r="C1050" s="904"/>
      <c r="D1050" s="905"/>
      <c r="E1050" s="904"/>
      <c r="F1050" s="904"/>
      <c r="H1050" s="205"/>
      <c r="I1050" s="205"/>
      <c r="J1050" s="904"/>
      <c r="K1050" s="905"/>
      <c r="L1050" s="904"/>
      <c r="M1050" s="904"/>
    </row>
    <row r="1051" spans="1:14" ht="12.75" hidden="1" customHeight="1" thickBot="1" x14ac:dyDescent="0.25">
      <c r="A1051" s="992">
        <v>280</v>
      </c>
      <c r="B1051" s="211" t="str">
        <f>"ZAPATA DE COLUMNA "&amp;FIXED(C1051)&amp;" - "&amp;FIXED(C1053)&amp;" QQ/M3"</f>
        <v>ZAPATA DE COLUMNA 0.60 - 1.65 QQ/M3</v>
      </c>
      <c r="C1051" s="993">
        <v>0.6</v>
      </c>
      <c r="D1051" s="905"/>
      <c r="E1051" s="994" t="s">
        <v>1107</v>
      </c>
      <c r="F1051" s="995" t="s">
        <v>547</v>
      </c>
      <c r="H1051" s="992">
        <v>280</v>
      </c>
      <c r="I1051" s="211" t="str">
        <f>"ZAPATA DE COLUMNA "&amp;FIXED(J1051)&amp;" - "&amp;FIXED(J1053)&amp;" QQ/M3"</f>
        <v>ZAPATA DE COLUMNA 0.60 - 1.65 QQ/M3</v>
      </c>
      <c r="J1051" s="993">
        <v>0.6</v>
      </c>
      <c r="K1051" s="905"/>
      <c r="L1051" s="994" t="s">
        <v>1107</v>
      </c>
      <c r="M1051" s="995" t="s">
        <v>546</v>
      </c>
    </row>
    <row r="1052" spans="1:14" ht="12.75" hidden="1" customHeight="1" thickTop="1" x14ac:dyDescent="0.2">
      <c r="A1052" s="996" t="str">
        <f>IF(F1051=$C$226,ADDRESS(MATCH(E1052,$C$1:$C$231,0),D1056),IF(F1051=$E$226,ADDRESS(MATCH(E1052,$E$1:$E$231,0),D1056),ADDRESS(MATCH(E1052,$F$1:$F$231,0),D1056)))</f>
        <v>$F$164</v>
      </c>
      <c r="B1052" s="213" t="str">
        <f>"HORMIGON "&amp;A1051&amp;" KG/CM2 + "&amp;(C1052-1)*100&amp;" % DESP."</f>
        <v>HORMIGON 280 KG/CM2 + 10 % DESP.</v>
      </c>
      <c r="C1052" s="216">
        <f>IF(F1051="Industrial",1.1,1.05)</f>
        <v>1.1000000000000001</v>
      </c>
      <c r="D1052" s="277" t="s">
        <v>88</v>
      </c>
      <c r="E1052" s="216">
        <f>VLOOKUP(A1051,$A$227:$F$231,D1056,0)</f>
        <v>9500</v>
      </c>
      <c r="F1052" s="977">
        <f>ROUND(C1052*E1052,2)</f>
        <v>10450</v>
      </c>
      <c r="H1052" s="996" t="e">
        <f>IF(M1051=$C$226,ADDRESS(MATCH(L1052,$C$1:$C$231,0),K1056),IF(M1051=$E$226,ADDRESS(MATCH(L1052,$E$1:$E$231,0),K1056),ADDRESS(MATCH(L1052,$F$1:$F$231,0),K1056)))</f>
        <v>#N/A</v>
      </c>
      <c r="I1052" s="213" t="str">
        <f>"HORMIGON "&amp;H1051&amp;" KG/CM2 + "&amp;(J1052-1)*100&amp;" % DESP."</f>
        <v>HORMIGON 280 KG/CM2 + 10 % DESP.</v>
      </c>
      <c r="J1052" s="216">
        <v>1.1000000000000001</v>
      </c>
      <c r="K1052" s="277" t="s">
        <v>88</v>
      </c>
      <c r="L1052" s="216">
        <v>9500</v>
      </c>
      <c r="M1052" s="977">
        <f>ROUND(J1052*L1052,2)</f>
        <v>10450</v>
      </c>
    </row>
    <row r="1053" spans="1:14" ht="12.75" hidden="1" customHeight="1" x14ac:dyDescent="0.2">
      <c r="A1053" s="217" t="str">
        <f>"F-"&amp;ROW(F378)</f>
        <v>F-378</v>
      </c>
      <c r="B1053" s="218" t="s">
        <v>1108</v>
      </c>
      <c r="C1053" s="997">
        <v>1.65</v>
      </c>
      <c r="D1053" s="280" t="s">
        <v>297</v>
      </c>
      <c r="E1053" s="221">
        <f>F378</f>
        <v>3245.28</v>
      </c>
      <c r="F1053" s="981">
        <f>ROUND(C1053*E1053,2)</f>
        <v>5354.71</v>
      </c>
      <c r="H1053" s="217" t="str">
        <f>"F-"&amp;ROW(M378)</f>
        <v>F-378</v>
      </c>
      <c r="I1053" s="218" t="s">
        <v>1108</v>
      </c>
      <c r="J1053" s="997">
        <v>1.65</v>
      </c>
      <c r="K1053" s="280" t="s">
        <v>297</v>
      </c>
      <c r="L1053" s="221">
        <f>+E1053</f>
        <v>3245.28</v>
      </c>
      <c r="M1053" s="981">
        <f>ROUND(J1053*L1053,2)</f>
        <v>5354.71</v>
      </c>
    </row>
    <row r="1054" spans="1:14" ht="12.75" hidden="1" customHeight="1" x14ac:dyDescent="0.2">
      <c r="A1054" s="217" t="str">
        <f>"F-"&amp;ROW(F533)</f>
        <v>F-533</v>
      </c>
      <c r="B1054" s="998" t="s">
        <v>1109</v>
      </c>
      <c r="C1054" s="999">
        <v>1</v>
      </c>
      <c r="D1054" s="755" t="s">
        <v>88</v>
      </c>
      <c r="E1054" s="999">
        <f>VLOOKUP(A1051,$A$547:$F$551,6,0)</f>
        <v>903.63</v>
      </c>
      <c r="F1054" s="981">
        <f>ROUND(C1054*E1054,2)</f>
        <v>903.63</v>
      </c>
      <c r="H1054" s="217" t="str">
        <f>"F-"&amp;ROW(M533)</f>
        <v>F-533</v>
      </c>
      <c r="I1054" s="998" t="s">
        <v>1109</v>
      </c>
      <c r="J1054" s="999">
        <v>1</v>
      </c>
      <c r="K1054" s="755" t="s">
        <v>88</v>
      </c>
      <c r="L1054" s="999">
        <f>VLOOKUP(H1051,$A$547:$F$551,6,0)</f>
        <v>903.63</v>
      </c>
      <c r="M1054" s="981">
        <f>ROUND(J1054*L1054,2)</f>
        <v>903.63</v>
      </c>
    </row>
    <row r="1055" spans="1:14" ht="12.75" hidden="1" customHeight="1" x14ac:dyDescent="0.2">
      <c r="A1055" s="217" t="str">
        <f>"F-"&amp;ROW(F529)</f>
        <v>F-529</v>
      </c>
      <c r="B1055" s="998" t="s">
        <v>1110</v>
      </c>
      <c r="C1055" s="999">
        <f>IF(F1051="Industrial",0,1)</f>
        <v>0</v>
      </c>
      <c r="D1055" s="755" t="s">
        <v>88</v>
      </c>
      <c r="E1055" s="999">
        <f>IF(F1051="Industrial",0,F529)</f>
        <v>0</v>
      </c>
      <c r="F1055" s="981">
        <f>ROUND(C1055*E1055,2)</f>
        <v>0</v>
      </c>
      <c r="H1055" s="217" t="str">
        <f>"F-"&amp;ROW(M529)</f>
        <v>F-529</v>
      </c>
      <c r="I1055" s="1733" t="s">
        <v>1111</v>
      </c>
      <c r="J1055" s="999">
        <v>1</v>
      </c>
      <c r="K1055" s="755" t="s">
        <v>88</v>
      </c>
      <c r="L1055" s="999">
        <v>1000</v>
      </c>
      <c r="M1055" s="981">
        <f>ROUND(J1055*L1055,2)</f>
        <v>1000</v>
      </c>
    </row>
    <row r="1056" spans="1:14" ht="12.75" hidden="1" customHeight="1" thickBot="1" x14ac:dyDescent="0.25">
      <c r="A1056" s="232"/>
      <c r="B1056" s="233"/>
      <c r="C1056" s="284"/>
      <c r="D1056" s="285">
        <f>IF(F1051="Industrial",6,IF(F1051="c/ligadora",5,3))</f>
        <v>6</v>
      </c>
      <c r="E1056" s="606" t="s">
        <v>772</v>
      </c>
      <c r="F1056" s="1001">
        <f>ROUND(SUM(F1052:F1055),2)</f>
        <v>16708.34</v>
      </c>
      <c r="H1056" s="232"/>
      <c r="I1056" s="1734"/>
      <c r="J1056" s="284"/>
      <c r="K1056" s="285">
        <f>IF(M1051="Industrial",6,IF(M1051="c/ligadora",5,3))</f>
        <v>5</v>
      </c>
      <c r="L1056" s="606" t="s">
        <v>772</v>
      </c>
      <c r="M1056" s="1001">
        <f>ROUND(SUM(M1052:M1055),2)</f>
        <v>17708.34</v>
      </c>
      <c r="N1056" s="66">
        <f>+M1056-F1056</f>
        <v>1000</v>
      </c>
    </row>
    <row r="1057" spans="1:13" ht="12.75" hidden="1" customHeight="1" thickTop="1" x14ac:dyDescent="0.2">
      <c r="H1057" s="130"/>
      <c r="I1057" s="130"/>
      <c r="J1057" s="177"/>
      <c r="K1057" s="69"/>
      <c r="L1057" s="177"/>
      <c r="M1057" s="177"/>
    </row>
    <row r="1058" spans="1:13" ht="12.75" hidden="1" customHeight="1" thickBot="1" x14ac:dyDescent="0.25">
      <c r="A1058" s="992">
        <v>280</v>
      </c>
      <c r="B1058" s="211" t="str">
        <f>"LOSA DE FONDO "&amp;FIXED(C1058)&amp;" - "&amp;FIXED(C1060)&amp;" QQ/M3"</f>
        <v>LOSA DE FONDO 0.20 - 1.34 QQ/M3</v>
      </c>
      <c r="C1058" s="993">
        <v>0.2</v>
      </c>
      <c r="D1058" s="905"/>
      <c r="E1058" s="994" t="s">
        <v>1107</v>
      </c>
      <c r="F1058" s="995" t="s">
        <v>547</v>
      </c>
      <c r="H1058" s="992">
        <v>280</v>
      </c>
      <c r="I1058" s="211" t="str">
        <f>"LOSA DE FONDO "&amp;FIXED(J1058)&amp;" - "&amp;FIXED(J1060)&amp;" QQ/M3"</f>
        <v>LOSA DE FONDO 0.20 - 1.34 QQ/M3</v>
      </c>
      <c r="J1058" s="993">
        <v>0.2</v>
      </c>
      <c r="K1058" s="905"/>
      <c r="L1058" s="994" t="s">
        <v>1107</v>
      </c>
      <c r="M1058" s="995" t="s">
        <v>546</v>
      </c>
    </row>
    <row r="1059" spans="1:13" ht="12.75" hidden="1" customHeight="1" thickTop="1" x14ac:dyDescent="0.2">
      <c r="A1059" s="996" t="str">
        <f>IF(F1058=$C$226,ADDRESS(MATCH(E1059,$C$1:$C$231,0),D1063),IF(F1058=$E$226,ADDRESS(MATCH(E1059,$E$1:$E$231,0),D1063),ADDRESS(MATCH(E1059,$F$1:$F$231,0),D1063)))</f>
        <v>$F$164</v>
      </c>
      <c r="B1059" s="213" t="str">
        <f>"HORMIGON "&amp;A1058&amp;" KG/CM2 + "&amp;(C1059-1)*100&amp;" % DESP."</f>
        <v>HORMIGON 280 KG/CM2 + 10 % DESP.</v>
      </c>
      <c r="C1059" s="216">
        <f>IF(F1058="Industrial",1.1,1.05)</f>
        <v>1.1000000000000001</v>
      </c>
      <c r="D1059" s="277" t="s">
        <v>88</v>
      </c>
      <c r="E1059" s="216">
        <f>VLOOKUP(A1058,$A$227:$F$231,D1063,0)</f>
        <v>9500</v>
      </c>
      <c r="F1059" s="977">
        <f>ROUND(C1059*E1059,2)</f>
        <v>10450</v>
      </c>
      <c r="H1059" s="996" t="e">
        <f>IF(M1058=$C$226,ADDRESS(MATCH(L1059,$C$1:$C$231,0),K1063),IF(M1058=$E$226,ADDRESS(MATCH(L1059,$E$1:$E$231,0),K1063),ADDRESS(MATCH(L1059,$F$1:$F$231,0),K1063)))</f>
        <v>#N/A</v>
      </c>
      <c r="I1059" s="213" t="str">
        <f>"HORMIGON "&amp;H1058&amp;" KG/CM2 + "&amp;(J1059-1)*100&amp;" % DESP."</f>
        <v>HORMIGON 280 KG/CM2 + 10 % DESP.</v>
      </c>
      <c r="J1059" s="216">
        <v>1.1000000000000001</v>
      </c>
      <c r="K1059" s="277" t="s">
        <v>88</v>
      </c>
      <c r="L1059" s="216">
        <v>9500</v>
      </c>
      <c r="M1059" s="977">
        <f>ROUND(J1059*L1059,2)</f>
        <v>10450</v>
      </c>
    </row>
    <row r="1060" spans="1:13" ht="12.75" hidden="1" customHeight="1" x14ac:dyDescent="0.2">
      <c r="A1060" s="217" t="str">
        <f>"F-"&amp;ROW(F378)</f>
        <v>F-378</v>
      </c>
      <c r="B1060" s="218" t="s">
        <v>1108</v>
      </c>
      <c r="C1060" s="997">
        <v>1.34</v>
      </c>
      <c r="D1060" s="280" t="s">
        <v>297</v>
      </c>
      <c r="E1060" s="221">
        <f>F378</f>
        <v>3245.28</v>
      </c>
      <c r="F1060" s="981">
        <f>ROUND(C1060*E1060,2)</f>
        <v>4348.68</v>
      </c>
      <c r="H1060" s="217" t="str">
        <f>"F-"&amp;ROW(M378)</f>
        <v>F-378</v>
      </c>
      <c r="I1060" s="218" t="s">
        <v>1108</v>
      </c>
      <c r="J1060" s="997">
        <v>1.34</v>
      </c>
      <c r="K1060" s="280" t="s">
        <v>297</v>
      </c>
      <c r="L1060" s="221">
        <f>+E1060</f>
        <v>3245.28</v>
      </c>
      <c r="M1060" s="981">
        <f>ROUND(J1060*L1060,2)</f>
        <v>4348.68</v>
      </c>
    </row>
    <row r="1061" spans="1:13" ht="12.75" hidden="1" customHeight="1" x14ac:dyDescent="0.2">
      <c r="A1061" s="217" t="str">
        <f>"F-"&amp;ROW(F533)</f>
        <v>F-533</v>
      </c>
      <c r="B1061" s="998" t="s">
        <v>1109</v>
      </c>
      <c r="C1061" s="999">
        <v>1</v>
      </c>
      <c r="D1061" s="755" t="s">
        <v>88</v>
      </c>
      <c r="E1061" s="999">
        <f>VLOOKUP(A1058,$A$547:$F$551,6,0)</f>
        <v>903.63</v>
      </c>
      <c r="F1061" s="981">
        <f>ROUND(C1061*E1061,2)</f>
        <v>903.63</v>
      </c>
      <c r="H1061" s="217" t="str">
        <f>"F-"&amp;ROW(M533)</f>
        <v>F-533</v>
      </c>
      <c r="I1061" s="998" t="s">
        <v>1109</v>
      </c>
      <c r="J1061" s="999">
        <v>1</v>
      </c>
      <c r="K1061" s="755" t="s">
        <v>88</v>
      </c>
      <c r="L1061" s="999">
        <f>VLOOKUP(H1058,$A$547:$F$551,6,0)</f>
        <v>903.63</v>
      </c>
      <c r="M1061" s="981">
        <f>ROUND(J1061*L1061,2)</f>
        <v>903.63</v>
      </c>
    </row>
    <row r="1062" spans="1:13" ht="12.75" hidden="1" customHeight="1" x14ac:dyDescent="0.2">
      <c r="A1062" s="217" t="str">
        <f>"F-"&amp;ROW(F529)</f>
        <v>F-529</v>
      </c>
      <c r="B1062" s="998" t="s">
        <v>1110</v>
      </c>
      <c r="C1062" s="999">
        <f>IF(F1058="Industrial",0,1)</f>
        <v>0</v>
      </c>
      <c r="D1062" s="755" t="s">
        <v>88</v>
      </c>
      <c r="E1062" s="999">
        <f>IF(F1058="Industrial",0,F529)</f>
        <v>0</v>
      </c>
      <c r="F1062" s="981">
        <f>ROUND(C1062*E1062,2)</f>
        <v>0</v>
      </c>
      <c r="H1062" s="217" t="str">
        <f>"F-"&amp;ROW(M529)</f>
        <v>F-529</v>
      </c>
      <c r="I1062" s="1733" t="s">
        <v>1111</v>
      </c>
      <c r="J1062" s="999">
        <v>1</v>
      </c>
      <c r="K1062" s="755" t="s">
        <v>88</v>
      </c>
      <c r="L1062" s="999">
        <v>1000</v>
      </c>
      <c r="M1062" s="981">
        <f>ROUND(J1062*L1062,2)</f>
        <v>1000</v>
      </c>
    </row>
    <row r="1063" spans="1:13" ht="12.75" hidden="1" customHeight="1" thickBot="1" x14ac:dyDescent="0.25">
      <c r="A1063" s="232"/>
      <c r="B1063" s="233"/>
      <c r="C1063" s="284"/>
      <c r="D1063" s="285">
        <f>IF(F1058="Industrial",6,IF(F1058="c/ligadora",5,3))</f>
        <v>6</v>
      </c>
      <c r="E1063" s="606" t="s">
        <v>772</v>
      </c>
      <c r="F1063" s="1001">
        <f>ROUND(SUM(F1059:F1062),2)</f>
        <v>15702.31</v>
      </c>
      <c r="H1063" s="232"/>
      <c r="I1063" s="1734"/>
      <c r="J1063" s="284"/>
      <c r="K1063" s="285">
        <f>IF(M1058="Industrial",6,IF(M1058="c/ligadora",5,3))</f>
        <v>5</v>
      </c>
      <c r="L1063" s="606" t="s">
        <v>772</v>
      </c>
      <c r="M1063" s="1001">
        <f>ROUND(SUM(M1059:M1062),2)</f>
        <v>16702.310000000001</v>
      </c>
    </row>
    <row r="1064" spans="1:13" ht="12.75" hidden="1" customHeight="1" thickTop="1" x14ac:dyDescent="0.2">
      <c r="H1064" s="130"/>
      <c r="I1064" s="130"/>
      <c r="J1064" s="177"/>
      <c r="K1064" s="69"/>
      <c r="L1064" s="177"/>
      <c r="M1064" s="177"/>
    </row>
    <row r="1065" spans="1:13" ht="12.75" hidden="1" customHeight="1" thickBot="1" x14ac:dyDescent="0.25">
      <c r="A1065" s="992">
        <v>280</v>
      </c>
      <c r="B1065" s="211" t="str">
        <f>"MURO "&amp;FIXED(C1065)&amp;" - "&amp;FIXED(C1067)&amp;" QQ/M3"</f>
        <v>MURO 0.35 - 2.98 QQ/M3</v>
      </c>
      <c r="C1065" s="993">
        <v>0.35</v>
      </c>
      <c r="D1065" s="905"/>
      <c r="E1065" s="994" t="s">
        <v>1107</v>
      </c>
      <c r="F1065" s="995" t="s">
        <v>547</v>
      </c>
      <c r="H1065" s="992">
        <v>280</v>
      </c>
      <c r="I1065" s="211" t="str">
        <f>"MURO "&amp;FIXED(J1065)&amp;" - "&amp;FIXED(J1067)&amp;" QQ/M3"</f>
        <v>MURO 0.35 - 2.98 QQ/M3</v>
      </c>
      <c r="J1065" s="993">
        <v>0.35</v>
      </c>
      <c r="K1065" s="905"/>
      <c r="L1065" s="994" t="s">
        <v>1107</v>
      </c>
      <c r="M1065" s="995" t="s">
        <v>546</v>
      </c>
    </row>
    <row r="1066" spans="1:13" ht="12.75" hidden="1" customHeight="1" thickTop="1" x14ac:dyDescent="0.2">
      <c r="A1066" s="996" t="str">
        <f>IF(F1065=$C$226,ADDRESS(MATCH(E1066,$C$1:$C$231,0),D1071),IF(F1065=$E$226,ADDRESS(MATCH(E1066,$E$1:$E$231,0),D1071),ADDRESS(MATCH(E1066,$F$1:$F$231,0),D1071)))</f>
        <v>$F$164</v>
      </c>
      <c r="B1066" s="213" t="str">
        <f>"HORMIGON "&amp;A1065&amp;" KG/CM2 + "&amp;(C1066-1)*100&amp;" % DESP."</f>
        <v>HORMIGON 280 KG/CM2 + 10 % DESP.</v>
      </c>
      <c r="C1066" s="216">
        <f>IF(F1065="Industrial",1.1,1.05)</f>
        <v>1.1000000000000001</v>
      </c>
      <c r="D1066" s="277" t="s">
        <v>88</v>
      </c>
      <c r="E1066" s="216">
        <f>VLOOKUP(A1065,$A$227:$F$231,D1071,0)</f>
        <v>9500</v>
      </c>
      <c r="F1066" s="977">
        <f>ROUND(C1066*E1066,2)</f>
        <v>10450</v>
      </c>
      <c r="H1066" s="996" t="e">
        <f>IF(M1065=$C$226,ADDRESS(MATCH(L1066,$C$1:$C$231,0),K1071),IF(M1065=$E$226,ADDRESS(MATCH(L1066,$E$1:$E$231,0),K1071),ADDRESS(MATCH(L1066,$F$1:$F$231,0),K1071)))</f>
        <v>#N/A</v>
      </c>
      <c r="I1066" s="213" t="str">
        <f>"HORMIGON "&amp;H1065&amp;" KG/CM2 + "&amp;(J1066-1)*100&amp;" % DESP."</f>
        <v>HORMIGON 280 KG/CM2 + 10 % DESP.</v>
      </c>
      <c r="J1066" s="216">
        <v>1.1000000000000001</v>
      </c>
      <c r="K1066" s="277" t="s">
        <v>88</v>
      </c>
      <c r="L1066" s="216">
        <v>9500</v>
      </c>
      <c r="M1066" s="977">
        <f>ROUND(J1066*L1066,2)</f>
        <v>10450</v>
      </c>
    </row>
    <row r="1067" spans="1:13" ht="12.75" hidden="1" customHeight="1" x14ac:dyDescent="0.2">
      <c r="A1067" s="217" t="str">
        <f>"F-"&amp;ROW(F378)</f>
        <v>F-378</v>
      </c>
      <c r="B1067" s="218" t="s">
        <v>1108</v>
      </c>
      <c r="C1067" s="997">
        <v>2.98</v>
      </c>
      <c r="D1067" s="280" t="s">
        <v>297</v>
      </c>
      <c r="E1067" s="221">
        <f>F378</f>
        <v>3245.28</v>
      </c>
      <c r="F1067" s="981">
        <f>ROUND(C1067*E1067,2)</f>
        <v>9670.93</v>
      </c>
      <c r="H1067" s="217" t="str">
        <f>"F-"&amp;ROW(M378)</f>
        <v>F-378</v>
      </c>
      <c r="I1067" s="218" t="s">
        <v>1108</v>
      </c>
      <c r="J1067" s="997">
        <v>2.98</v>
      </c>
      <c r="K1067" s="280" t="s">
        <v>297</v>
      </c>
      <c r="L1067" s="221">
        <f>+E1067</f>
        <v>3245.28</v>
      </c>
      <c r="M1067" s="981">
        <f>ROUND(J1067*L1067,2)</f>
        <v>9670.93</v>
      </c>
    </row>
    <row r="1068" spans="1:13" ht="12.75" hidden="1" customHeight="1" x14ac:dyDescent="0.2">
      <c r="A1068" s="1002"/>
      <c r="B1068" s="998" t="s">
        <v>1112</v>
      </c>
      <c r="C1068" s="999">
        <f>ROUND(1/C1065,2)</f>
        <v>2.86</v>
      </c>
      <c r="D1068" s="755" t="s">
        <v>124</v>
      </c>
      <c r="E1068" s="999">
        <v>1000</v>
      </c>
      <c r="F1068" s="981">
        <f>ROUND(C1068*E1068,2)</f>
        <v>2860</v>
      </c>
      <c r="H1068" s="1002"/>
      <c r="I1068" s="998" t="s">
        <v>1112</v>
      </c>
      <c r="J1068" s="999">
        <f>ROUND(1/J1065,2)</f>
        <v>2.86</v>
      </c>
      <c r="K1068" s="755" t="s">
        <v>124</v>
      </c>
      <c r="L1068" s="999">
        <v>1000</v>
      </c>
      <c r="M1068" s="981">
        <f>ROUND(J1068*L1068,2)</f>
        <v>2860</v>
      </c>
    </row>
    <row r="1069" spans="1:13" ht="12.75" hidden="1" customHeight="1" x14ac:dyDescent="0.2">
      <c r="A1069" s="217" t="str">
        <f>"F-"&amp;ROW(F533)</f>
        <v>F-533</v>
      </c>
      <c r="B1069" s="998" t="s">
        <v>1109</v>
      </c>
      <c r="C1069" s="999">
        <v>1</v>
      </c>
      <c r="D1069" s="755" t="s">
        <v>88</v>
      </c>
      <c r="E1069" s="999">
        <f>VLOOKUP(A1065,$A$547:$F$551,6,0)</f>
        <v>903.63</v>
      </c>
      <c r="F1069" s="981">
        <f>ROUND(C1069*E1069,2)</f>
        <v>903.63</v>
      </c>
      <c r="H1069" s="217" t="str">
        <f>"F-"&amp;ROW(M533)</f>
        <v>F-533</v>
      </c>
      <c r="I1069" s="998" t="s">
        <v>1109</v>
      </c>
      <c r="J1069" s="999">
        <v>1</v>
      </c>
      <c r="K1069" s="755" t="s">
        <v>88</v>
      </c>
      <c r="L1069" s="999">
        <f>VLOOKUP(H1065,$A$547:$F$551,6,0)</f>
        <v>903.63</v>
      </c>
      <c r="M1069" s="981">
        <f>ROUND(J1069*L1069,2)</f>
        <v>903.63</v>
      </c>
    </row>
    <row r="1070" spans="1:13" ht="12.75" hidden="1" customHeight="1" x14ac:dyDescent="0.2">
      <c r="A1070" s="217" t="str">
        <f>"F-"&amp;ROW(F527)</f>
        <v>F-527</v>
      </c>
      <c r="B1070" s="998" t="s">
        <v>1110</v>
      </c>
      <c r="C1070" s="999">
        <f>IF(F1065="Industrial",0,1)</f>
        <v>0</v>
      </c>
      <c r="D1070" s="755" t="s">
        <v>88</v>
      </c>
      <c r="E1070" s="999">
        <f>IF(F1066="Industrial",0,F527)</f>
        <v>54.03</v>
      </c>
      <c r="F1070" s="981">
        <f>ROUND(C1070*E1070,2)</f>
        <v>0</v>
      </c>
      <c r="H1070" s="217" t="str">
        <f>"F-"&amp;ROW(M527)</f>
        <v>F-527</v>
      </c>
      <c r="I1070" s="1733" t="s">
        <v>1111</v>
      </c>
      <c r="J1070" s="999">
        <v>1</v>
      </c>
      <c r="K1070" s="755" t="s">
        <v>88</v>
      </c>
      <c r="L1070" s="999">
        <v>1000</v>
      </c>
      <c r="M1070" s="981">
        <f>ROUND(J1070*L1070,2)</f>
        <v>1000</v>
      </c>
    </row>
    <row r="1071" spans="1:13" ht="12.75" hidden="1" customHeight="1" thickBot="1" x14ac:dyDescent="0.25">
      <c r="A1071" s="232"/>
      <c r="B1071" s="233"/>
      <c r="C1071" s="284"/>
      <c r="D1071" s="285">
        <f>IF(F1065="Industrial",6,IF(F1065="c/ligadora",5,3))</f>
        <v>6</v>
      </c>
      <c r="E1071" s="606" t="s">
        <v>772</v>
      </c>
      <c r="F1071" s="1001">
        <f>ROUND(SUM(F1066:F1070),2)</f>
        <v>23884.560000000001</v>
      </c>
      <c r="H1071" s="232"/>
      <c r="I1071" s="1734"/>
      <c r="J1071" s="284"/>
      <c r="K1071" s="285">
        <f>IF(M1065="Industrial",6,IF(M1065="c/ligadora",5,3))</f>
        <v>5</v>
      </c>
      <c r="L1071" s="606" t="s">
        <v>772</v>
      </c>
      <c r="M1071" s="1001">
        <f>ROUND(SUM(M1066:M1070),2)</f>
        <v>24884.560000000001</v>
      </c>
    </row>
    <row r="1072" spans="1:13" ht="12.75" hidden="1" customHeight="1" thickTop="1" x14ac:dyDescent="0.2">
      <c r="H1072" s="130"/>
      <c r="I1072" s="130"/>
      <c r="J1072" s="177"/>
      <c r="K1072" s="69"/>
      <c r="L1072" s="177"/>
      <c r="M1072" s="177"/>
    </row>
    <row r="1073" spans="1:13" ht="12.75" hidden="1" customHeight="1" x14ac:dyDescent="0.2">
      <c r="B1073" s="1003" t="s">
        <v>1113</v>
      </c>
      <c r="C1073" s="1004">
        <v>0.6</v>
      </c>
      <c r="D1073" s="1004">
        <v>0.6</v>
      </c>
      <c r="H1073" s="130"/>
      <c r="I1073" s="1003" t="s">
        <v>1113</v>
      </c>
      <c r="J1073" s="1004">
        <v>0.6</v>
      </c>
      <c r="K1073" s="1004">
        <v>0.6</v>
      </c>
      <c r="L1073" s="177"/>
      <c r="M1073" s="177"/>
    </row>
    <row r="1074" spans="1:13" ht="12.75" hidden="1" customHeight="1" thickBot="1" x14ac:dyDescent="0.25">
      <c r="A1074" s="992">
        <v>280</v>
      </c>
      <c r="B1074" s="211" t="str">
        <f>"COLUMNA "&amp;FIXED(C1073)&amp;" x "&amp;FIXED(D1073)&amp;" - "&amp;FIXED(C1076)&amp;" QQ/M3"</f>
        <v>COLUMNA 0.60 x 0.60 - 5.15 QQ/M3</v>
      </c>
      <c r="C1074" s="904"/>
      <c r="D1074" s="905"/>
      <c r="E1074" s="994" t="s">
        <v>1107</v>
      </c>
      <c r="F1074" s="995" t="s">
        <v>547</v>
      </c>
      <c r="H1074" s="992">
        <v>280</v>
      </c>
      <c r="I1074" s="211" t="str">
        <f>"COLUMNA "&amp;FIXED(J1073)&amp;" x "&amp;FIXED(K1073)&amp;" - "&amp;FIXED(J1076)&amp;" QQ/M3"</f>
        <v>COLUMNA 0.60 x 0.60 - 5.15 QQ/M3</v>
      </c>
      <c r="J1074" s="904"/>
      <c r="K1074" s="905"/>
      <c r="L1074" s="994" t="s">
        <v>1107</v>
      </c>
      <c r="M1074" s="995" t="s">
        <v>546</v>
      </c>
    </row>
    <row r="1075" spans="1:13" ht="12.75" hidden="1" customHeight="1" thickTop="1" x14ac:dyDescent="0.2">
      <c r="A1075" s="996" t="str">
        <f>IF(F1074=$C$226,ADDRESS(MATCH(E1075,$C$1:$C$231,0),D1080),IF(F1074=$E$226,ADDRESS(MATCH(E1075,$E$1:$E$231,0),D1080),ADDRESS(MATCH(E1075,$F$1:$F$231,0),D1080)))</f>
        <v>$F$164</v>
      </c>
      <c r="B1075" s="213" t="str">
        <f>"HORMIGON "&amp;A1074&amp;" KG/CM2 + "&amp;(C1075-1)*100&amp;" % DESP."</f>
        <v>HORMIGON 280 KG/CM2 + 10 % DESP.</v>
      </c>
      <c r="C1075" s="216">
        <f>IF(F1074="Industrial",1.1,1.05)</f>
        <v>1.1000000000000001</v>
      </c>
      <c r="D1075" s="277" t="s">
        <v>88</v>
      </c>
      <c r="E1075" s="216">
        <f>VLOOKUP(A1074,$A$227:$F$231,D1080,0)</f>
        <v>9500</v>
      </c>
      <c r="F1075" s="977">
        <f>ROUND(C1075*E1075,2)</f>
        <v>10450</v>
      </c>
      <c r="H1075" s="996" t="e">
        <f>IF(M1074=$C$226,ADDRESS(MATCH(L1075,$C$1:$C$231,0),K1080),IF(M1074=$E$226,ADDRESS(MATCH(L1075,$E$1:$E$231,0),K1080),ADDRESS(MATCH(L1075,$F$1:$F$231,0),K1080)))</f>
        <v>#N/A</v>
      </c>
      <c r="I1075" s="213" t="str">
        <f>"HORMIGON "&amp;H1074&amp;" KG/CM2 + "&amp;(J1075-1)*100&amp;" % DESP."</f>
        <v>HORMIGON 280 KG/CM2 + 10 % DESP.</v>
      </c>
      <c r="J1075" s="216">
        <v>1.1000000000000001</v>
      </c>
      <c r="K1075" s="277" t="s">
        <v>88</v>
      </c>
      <c r="L1075" s="216">
        <v>9500</v>
      </c>
      <c r="M1075" s="977">
        <f>ROUND(J1075*L1075,2)</f>
        <v>10450</v>
      </c>
    </row>
    <row r="1076" spans="1:13" ht="12.75" hidden="1" customHeight="1" x14ac:dyDescent="0.2">
      <c r="A1076" s="217" t="str">
        <f>"F-"&amp;ROW(F378)</f>
        <v>F-378</v>
      </c>
      <c r="B1076" s="218" t="s">
        <v>1108</v>
      </c>
      <c r="C1076" s="997">
        <v>5.15</v>
      </c>
      <c r="D1076" s="280" t="s">
        <v>297</v>
      </c>
      <c r="E1076" s="221">
        <f>F378</f>
        <v>3245.28</v>
      </c>
      <c r="F1076" s="981">
        <f>ROUND(C1076*E1076,2)</f>
        <v>16713.189999999999</v>
      </c>
      <c r="H1076" s="217" t="str">
        <f>"F-"&amp;ROW(M378)</f>
        <v>F-378</v>
      </c>
      <c r="I1076" s="218" t="s">
        <v>1108</v>
      </c>
      <c r="J1076" s="997">
        <v>5.15</v>
      </c>
      <c r="K1076" s="280" t="s">
        <v>297</v>
      </c>
      <c r="L1076" s="221">
        <f>+E1076</f>
        <v>3245.28</v>
      </c>
      <c r="M1076" s="981">
        <f>ROUND(J1076*L1076,2)</f>
        <v>16713.189999999999</v>
      </c>
    </row>
    <row r="1077" spans="1:13" ht="12.75" hidden="1" customHeight="1" x14ac:dyDescent="0.2">
      <c r="A1077" s="1002"/>
      <c r="B1077" s="998" t="s">
        <v>1112</v>
      </c>
      <c r="C1077" s="999">
        <f>ROUND(1/(C1073*D1073),2)</f>
        <v>2.78</v>
      </c>
      <c r="D1077" s="755" t="s">
        <v>41</v>
      </c>
      <c r="E1077" s="999">
        <v>740</v>
      </c>
      <c r="F1077" s="981">
        <f>ROUND(C1077*E1077,2)</f>
        <v>2057.1999999999998</v>
      </c>
      <c r="H1077" s="1002"/>
      <c r="I1077" s="998" t="s">
        <v>1112</v>
      </c>
      <c r="J1077" s="999">
        <f>ROUND(1/(J1073*K1073),2)</f>
        <v>2.78</v>
      </c>
      <c r="K1077" s="755" t="s">
        <v>41</v>
      </c>
      <c r="L1077" s="999">
        <v>740</v>
      </c>
      <c r="M1077" s="981">
        <f>ROUND(J1077*L1077,2)</f>
        <v>2057.1999999999998</v>
      </c>
    </row>
    <row r="1078" spans="1:13" ht="12.75" hidden="1" customHeight="1" x14ac:dyDescent="0.2">
      <c r="A1078" s="217" t="str">
        <f>"F-"&amp;ROW(F533)</f>
        <v>F-533</v>
      </c>
      <c r="B1078" s="998" t="s">
        <v>1109</v>
      </c>
      <c r="C1078" s="999">
        <v>1</v>
      </c>
      <c r="D1078" s="755" t="s">
        <v>88</v>
      </c>
      <c r="E1078" s="999">
        <f>VLOOKUP(A1074,$A$547:$F$551,6,0)</f>
        <v>903.63</v>
      </c>
      <c r="F1078" s="981">
        <f>ROUND(C1078*E1078,2)</f>
        <v>903.63</v>
      </c>
      <c r="H1078" s="217" t="str">
        <f>"F-"&amp;ROW(M533)</f>
        <v>F-533</v>
      </c>
      <c r="I1078" s="998" t="s">
        <v>1109</v>
      </c>
      <c r="J1078" s="999">
        <v>1</v>
      </c>
      <c r="K1078" s="755" t="s">
        <v>88</v>
      </c>
      <c r="L1078" s="999">
        <f>VLOOKUP(H1074,$A$547:$F$551,6,0)</f>
        <v>903.63</v>
      </c>
      <c r="M1078" s="981">
        <f>ROUND(J1078*L1078,2)</f>
        <v>903.63</v>
      </c>
    </row>
    <row r="1079" spans="1:13" ht="12.75" hidden="1" customHeight="1" x14ac:dyDescent="0.2">
      <c r="A1079" s="217" t="str">
        <f>"F-"&amp;ROW(F527)</f>
        <v>F-527</v>
      </c>
      <c r="B1079" s="998" t="s">
        <v>1110</v>
      </c>
      <c r="C1079" s="999">
        <f>IF(F1074="Industrial",0,1)</f>
        <v>0</v>
      </c>
      <c r="D1079" s="755" t="s">
        <v>88</v>
      </c>
      <c r="E1079" s="999">
        <f>IF(F1074="Industrial",0,F527)</f>
        <v>0</v>
      </c>
      <c r="F1079" s="981">
        <f>ROUND(C1079*E1079,2)</f>
        <v>0</v>
      </c>
      <c r="H1079" s="217" t="str">
        <f>"F-"&amp;ROW(M527)</f>
        <v>F-527</v>
      </c>
      <c r="I1079" s="1733" t="s">
        <v>1111</v>
      </c>
      <c r="J1079" s="999">
        <v>1</v>
      </c>
      <c r="K1079" s="755" t="s">
        <v>88</v>
      </c>
      <c r="L1079" s="999">
        <v>1000</v>
      </c>
      <c r="M1079" s="981">
        <f>ROUND(J1079*L1079,2)</f>
        <v>1000</v>
      </c>
    </row>
    <row r="1080" spans="1:13" ht="12.75" hidden="1" customHeight="1" thickBot="1" x14ac:dyDescent="0.25">
      <c r="A1080" s="232"/>
      <c r="B1080" s="233"/>
      <c r="C1080" s="284"/>
      <c r="D1080" s="285">
        <f>IF(F1074="Industrial",6,IF(F1074="c/ligadora",5,3))</f>
        <v>6</v>
      </c>
      <c r="E1080" s="606" t="s">
        <v>772</v>
      </c>
      <c r="F1080" s="1001">
        <f>ROUND(SUM(F1075:F1079),2)</f>
        <v>30124.02</v>
      </c>
      <c r="H1080" s="232"/>
      <c r="I1080" s="1734"/>
      <c r="J1080" s="284"/>
      <c r="K1080" s="285">
        <f>IF(M1074="Industrial",6,IF(M1074="c/ligadora",5,3))</f>
        <v>5</v>
      </c>
      <c r="L1080" s="606" t="s">
        <v>772</v>
      </c>
      <c r="M1080" s="1001">
        <f>ROUND(SUM(M1075:M1079),2)</f>
        <v>31124.02</v>
      </c>
    </row>
    <row r="1081" spans="1:13" ht="12.75" hidden="1" customHeight="1" thickTop="1" x14ac:dyDescent="0.2">
      <c r="H1081" s="130"/>
      <c r="I1081" s="130"/>
      <c r="J1081" s="177"/>
      <c r="K1081" s="69"/>
      <c r="L1081" s="177"/>
      <c r="M1081" s="177"/>
    </row>
    <row r="1082" spans="1:13" ht="12.75" hidden="1" customHeight="1" x14ac:dyDescent="0.2">
      <c r="B1082" s="1003" t="s">
        <v>1113</v>
      </c>
      <c r="C1082" s="1004">
        <v>0.35</v>
      </c>
      <c r="D1082" s="1004">
        <v>0.35</v>
      </c>
      <c r="H1082" s="130"/>
      <c r="I1082" s="1003" t="s">
        <v>1113</v>
      </c>
      <c r="J1082" s="1004">
        <v>0.35</v>
      </c>
      <c r="K1082" s="1004">
        <v>0.35</v>
      </c>
      <c r="L1082" s="177"/>
      <c r="M1082" s="177"/>
    </row>
    <row r="1083" spans="1:13" ht="12.75" hidden="1" customHeight="1" thickBot="1" x14ac:dyDescent="0.25">
      <c r="A1083" s="992">
        <v>280</v>
      </c>
      <c r="B1083" s="211" t="str">
        <f>"COLUMNA "&amp;FIXED(C1082)&amp;" x "&amp;FIXED(D1082)&amp;" - "&amp;FIXED(C1085)&amp;" QQ/M3"</f>
        <v>COLUMNA 0.35 x 0.35 - 8.59 QQ/M3</v>
      </c>
      <c r="C1083" s="904"/>
      <c r="D1083" s="905"/>
      <c r="E1083" s="994" t="s">
        <v>1107</v>
      </c>
      <c r="F1083" s="995" t="s">
        <v>547</v>
      </c>
      <c r="H1083" s="992">
        <v>280</v>
      </c>
      <c r="I1083" s="211" t="str">
        <f>"COLUMNA "&amp;FIXED(J1082)&amp;" x "&amp;FIXED(K1082)&amp;" - "&amp;FIXED(J1085)&amp;" QQ/M3"</f>
        <v>COLUMNA 0.35 x 0.35 - 8.59 QQ/M3</v>
      </c>
      <c r="J1083" s="904"/>
      <c r="K1083" s="905"/>
      <c r="L1083" s="994" t="s">
        <v>1107</v>
      </c>
      <c r="M1083" s="995" t="s">
        <v>546</v>
      </c>
    </row>
    <row r="1084" spans="1:13" ht="12.75" hidden="1" customHeight="1" thickTop="1" x14ac:dyDescent="0.2">
      <c r="A1084" s="996" t="str">
        <f>IF(F1083=$C$226,ADDRESS(MATCH(E1084,$C$1:$C$231,0),D1089),IF(F1083=$E$226,ADDRESS(MATCH(E1084,$E$1:$E$231,0),D1089),ADDRESS(MATCH(E1084,$F$1:$F$231,0),D1089)))</f>
        <v>$F$164</v>
      </c>
      <c r="B1084" s="213" t="str">
        <f>"HORMIGON "&amp;A1083&amp;" KG/CM2 + "&amp;(C1084-1)*100&amp;" % DESP."</f>
        <v>HORMIGON 280 KG/CM2 + 10 % DESP.</v>
      </c>
      <c r="C1084" s="216">
        <f>IF(F1083="Industrial",1.1,1.05)</f>
        <v>1.1000000000000001</v>
      </c>
      <c r="D1084" s="277" t="s">
        <v>88</v>
      </c>
      <c r="E1084" s="216">
        <f>VLOOKUP(A1083,$A$227:$F$231,D1089,0)</f>
        <v>9500</v>
      </c>
      <c r="F1084" s="977">
        <f>ROUND(C1084*E1084,2)</f>
        <v>10450</v>
      </c>
      <c r="H1084" s="996" t="e">
        <f>IF(M1083=$C$226,ADDRESS(MATCH(L1084,$C$1:$C$231,0),K1089),IF(M1083=$E$226,ADDRESS(MATCH(L1084,$E$1:$E$231,0),K1089),ADDRESS(MATCH(L1084,$F$1:$F$231,0),K1089)))</f>
        <v>#N/A</v>
      </c>
      <c r="I1084" s="213" t="str">
        <f>"HORMIGON "&amp;H1083&amp;" KG/CM2 + "&amp;(J1084-1)*100&amp;" % DESP."</f>
        <v>HORMIGON 280 KG/CM2 + 10 % DESP.</v>
      </c>
      <c r="J1084" s="216">
        <v>1.1000000000000001</v>
      </c>
      <c r="K1084" s="277" t="s">
        <v>88</v>
      </c>
      <c r="L1084" s="216">
        <v>9500</v>
      </c>
      <c r="M1084" s="977">
        <f>ROUND(J1084*L1084,2)</f>
        <v>10450</v>
      </c>
    </row>
    <row r="1085" spans="1:13" ht="12.75" hidden="1" customHeight="1" x14ac:dyDescent="0.2">
      <c r="A1085" s="217" t="str">
        <f>"F-"&amp;ROW(F387)</f>
        <v>F-387</v>
      </c>
      <c r="B1085" s="218" t="s">
        <v>1108</v>
      </c>
      <c r="C1085" s="997">
        <v>8.59</v>
      </c>
      <c r="D1085" s="280" t="s">
        <v>297</v>
      </c>
      <c r="E1085" s="221">
        <f>F387</f>
        <v>486.5</v>
      </c>
      <c r="F1085" s="981">
        <f>ROUND(C1085*E1085,2)</f>
        <v>4179.04</v>
      </c>
      <c r="H1085" s="217" t="str">
        <f>"F-"&amp;ROW(M387)</f>
        <v>F-387</v>
      </c>
      <c r="I1085" s="218" t="s">
        <v>1108</v>
      </c>
      <c r="J1085" s="997">
        <v>8.59</v>
      </c>
      <c r="K1085" s="280" t="s">
        <v>297</v>
      </c>
      <c r="L1085" s="221">
        <f>+L1076</f>
        <v>3245.28</v>
      </c>
      <c r="M1085" s="981">
        <f>ROUND(J1085*L1085,2)</f>
        <v>27876.959999999999</v>
      </c>
    </row>
    <row r="1086" spans="1:13" ht="12.75" hidden="1" customHeight="1" x14ac:dyDescent="0.2">
      <c r="A1086" s="1002"/>
      <c r="B1086" s="998" t="s">
        <v>1112</v>
      </c>
      <c r="C1086" s="999">
        <f>ROUND(1/(C1082*D1082),2)</f>
        <v>8.16</v>
      </c>
      <c r="D1086" s="755" t="s">
        <v>41</v>
      </c>
      <c r="E1086" s="999">
        <v>740</v>
      </c>
      <c r="F1086" s="981">
        <f>ROUND(C1086*E1086,2)</f>
        <v>6038.4</v>
      </c>
      <c r="H1086" s="1002"/>
      <c r="I1086" s="998" t="s">
        <v>1112</v>
      </c>
      <c r="J1086" s="999">
        <f>ROUND(1/(J1082*K1082),2)</f>
        <v>8.16</v>
      </c>
      <c r="K1086" s="755" t="s">
        <v>41</v>
      </c>
      <c r="L1086" s="999">
        <v>740</v>
      </c>
      <c r="M1086" s="981">
        <f>ROUND(J1086*L1086,2)</f>
        <v>6038.4</v>
      </c>
    </row>
    <row r="1087" spans="1:13" ht="12.75" hidden="1" customHeight="1" x14ac:dyDescent="0.2">
      <c r="A1087" s="217" t="str">
        <f>"F-"&amp;ROW(F542)</f>
        <v>F-542</v>
      </c>
      <c r="B1087" s="998" t="s">
        <v>1109</v>
      </c>
      <c r="C1087" s="999">
        <v>1</v>
      </c>
      <c r="D1087" s="755" t="s">
        <v>88</v>
      </c>
      <c r="E1087" s="999">
        <f>VLOOKUP(A1083,$A$547:$F$551,6,0)</f>
        <v>903.63</v>
      </c>
      <c r="F1087" s="981">
        <f>ROUND(C1087*E1087,2)</f>
        <v>903.63</v>
      </c>
      <c r="H1087" s="217" t="str">
        <f>"F-"&amp;ROW(M542)</f>
        <v>F-542</v>
      </c>
      <c r="I1087" s="998" t="s">
        <v>1109</v>
      </c>
      <c r="J1087" s="999">
        <v>1</v>
      </c>
      <c r="K1087" s="755" t="s">
        <v>88</v>
      </c>
      <c r="L1087" s="999">
        <f>VLOOKUP(H1083,$A$547:$F$551,6,0)</f>
        <v>903.63</v>
      </c>
      <c r="M1087" s="981">
        <f>ROUND(J1087*L1087,2)</f>
        <v>903.63</v>
      </c>
    </row>
    <row r="1088" spans="1:13" ht="12.75" hidden="1" customHeight="1" x14ac:dyDescent="0.2">
      <c r="A1088" s="217" t="str">
        <f>"F-"&amp;ROW(F536)</f>
        <v>F-536</v>
      </c>
      <c r="B1088" s="998" t="s">
        <v>1110</v>
      </c>
      <c r="C1088" s="999">
        <f>IF(F1083="Industrial",0,1)</f>
        <v>0</v>
      </c>
      <c r="D1088" s="755" t="s">
        <v>88</v>
      </c>
      <c r="E1088" s="999">
        <f>IF(F1083="Industrial",0,F536)</f>
        <v>0</v>
      </c>
      <c r="F1088" s="981">
        <f>ROUND(C1088*E1088,2)</f>
        <v>0</v>
      </c>
      <c r="H1088" s="217" t="str">
        <f>"F-"&amp;ROW(M536)</f>
        <v>F-536</v>
      </c>
      <c r="I1088" s="1733" t="s">
        <v>1111</v>
      </c>
      <c r="J1088" s="999">
        <f>IF(M1083="Industrial",0,1)</f>
        <v>1</v>
      </c>
      <c r="K1088" s="755" t="s">
        <v>88</v>
      </c>
      <c r="L1088" s="999">
        <v>1000</v>
      </c>
      <c r="M1088" s="981">
        <f>ROUND(J1088*L1088,2)</f>
        <v>1000</v>
      </c>
    </row>
    <row r="1089" spans="1:13" ht="12.75" hidden="1" customHeight="1" thickBot="1" x14ac:dyDescent="0.25">
      <c r="A1089" s="232"/>
      <c r="B1089" s="233"/>
      <c r="C1089" s="284"/>
      <c r="D1089" s="285">
        <f>IF(F1083="Industrial",6,IF(F1083="c/ligadora",5,3))</f>
        <v>6</v>
      </c>
      <c r="E1089" s="606" t="s">
        <v>772</v>
      </c>
      <c r="F1089" s="1001">
        <f>ROUND(SUM(F1084:F1088),2)</f>
        <v>21571.07</v>
      </c>
      <c r="H1089" s="232"/>
      <c r="I1089" s="1734"/>
      <c r="J1089" s="284"/>
      <c r="K1089" s="285">
        <f>IF(M1083="Industrial",6,IF(M1083="c/ligadora",5,3))</f>
        <v>5</v>
      </c>
      <c r="L1089" s="606" t="s">
        <v>772</v>
      </c>
      <c r="M1089" s="1001">
        <f>ROUND(SUM(M1084:M1088),2)</f>
        <v>46268.99</v>
      </c>
    </row>
    <row r="1090" spans="1:13" ht="12.75" hidden="1" customHeight="1" thickTop="1" x14ac:dyDescent="0.2">
      <c r="B1090" s="1003" t="s">
        <v>1113</v>
      </c>
      <c r="C1090" s="1004">
        <v>0.3</v>
      </c>
      <c r="D1090" s="1004">
        <v>0.5</v>
      </c>
      <c r="H1090" s="130"/>
      <c r="I1090" s="1003" t="s">
        <v>1113</v>
      </c>
      <c r="J1090" s="1004">
        <v>0.3</v>
      </c>
      <c r="K1090" s="1004">
        <v>0.5</v>
      </c>
      <c r="L1090" s="177"/>
      <c r="M1090" s="177"/>
    </row>
    <row r="1091" spans="1:13" ht="12.75" hidden="1" customHeight="1" thickBot="1" x14ac:dyDescent="0.25">
      <c r="A1091" s="992">
        <v>280</v>
      </c>
      <c r="B1091" s="211" t="str">
        <f>"VIGA "&amp;FIXED(C1090)&amp;" x "&amp;FIXED(D1090)&amp;" - "&amp;FIXED(C1093)&amp;" QQ/M3"</f>
        <v>VIGA 0.30 x 0.50 - 3.66 QQ/M3</v>
      </c>
      <c r="C1091" s="904"/>
      <c r="D1091" s="905"/>
      <c r="E1091" s="994" t="s">
        <v>1107</v>
      </c>
      <c r="F1091" s="995" t="s">
        <v>547</v>
      </c>
      <c r="H1091" s="992">
        <v>280</v>
      </c>
      <c r="I1091" s="211" t="str">
        <f>"VIGA "&amp;FIXED(J1090)&amp;" x "&amp;FIXED(K1090)&amp;" - "&amp;FIXED(J1093)&amp;" QQ/M3"</f>
        <v>VIGA 0.30 x 0.50 - 3.66 QQ/M3</v>
      </c>
      <c r="J1091" s="904"/>
      <c r="K1091" s="905"/>
      <c r="L1091" s="994" t="s">
        <v>1107</v>
      </c>
      <c r="M1091" s="995" t="s">
        <v>546</v>
      </c>
    </row>
    <row r="1092" spans="1:13" ht="12.75" hidden="1" customHeight="1" thickTop="1" x14ac:dyDescent="0.2">
      <c r="A1092" s="996" t="str">
        <f>IF(F1091=$C$226,ADDRESS(MATCH(E1092,$C$1:$C$231,0),D1097),IF(F1091=$E$226,ADDRESS(MATCH(E1092,$E$1:$E$231,0),D1097),ADDRESS(MATCH(E1092,$F$1:$F$231,0),D1097)))</f>
        <v>$F$164</v>
      </c>
      <c r="B1092" s="213" t="str">
        <f>"HORMIGON "&amp;A1091&amp;" KG/CM2 + "&amp;(C1092-1)*100&amp;" % DESP."</f>
        <v>HORMIGON 280 KG/CM2 + 10 % DESP.</v>
      </c>
      <c r="C1092" s="216">
        <f>IF(F1091="Industrial",1.1,1.05)</f>
        <v>1.1000000000000001</v>
      </c>
      <c r="D1092" s="277" t="s">
        <v>88</v>
      </c>
      <c r="E1092" s="216">
        <f>VLOOKUP(A1091,$A$227:$F$231,D1097,0)</f>
        <v>9500</v>
      </c>
      <c r="F1092" s="977">
        <f>ROUND(C1092*E1092,2)</f>
        <v>10450</v>
      </c>
      <c r="H1092" s="996" t="e">
        <f>IF(M1091=$C$226,ADDRESS(MATCH(L1092,$C$1:$C$231,0),K1097),IF(M1091=$E$226,ADDRESS(MATCH(L1092,$E$1:$E$231,0),K1097),ADDRESS(MATCH(L1092,$F$1:$F$231,0),K1097)))</f>
        <v>#N/A</v>
      </c>
      <c r="I1092" s="213" t="str">
        <f>"HORMIGON "&amp;H1091&amp;" KG/CM2 + "&amp;(J1092-1)*100&amp;" % DESP."</f>
        <v>HORMIGON 280 KG/CM2 + 10 % DESP.</v>
      </c>
      <c r="J1092" s="216">
        <v>1.1000000000000001</v>
      </c>
      <c r="K1092" s="277" t="s">
        <v>88</v>
      </c>
      <c r="L1092" s="216">
        <v>9500</v>
      </c>
      <c r="M1092" s="977">
        <f>ROUND(J1092*L1092,2)</f>
        <v>10450</v>
      </c>
    </row>
    <row r="1093" spans="1:13" ht="12.75" hidden="1" customHeight="1" x14ac:dyDescent="0.2">
      <c r="A1093" s="217" t="str">
        <f>"F-"&amp;ROW(F378)</f>
        <v>F-378</v>
      </c>
      <c r="B1093" s="218" t="s">
        <v>1108</v>
      </c>
      <c r="C1093" s="997">
        <v>3.66</v>
      </c>
      <c r="D1093" s="280" t="s">
        <v>297</v>
      </c>
      <c r="E1093" s="221">
        <f>F378</f>
        <v>3245.28</v>
      </c>
      <c r="F1093" s="981">
        <f>ROUND(C1093*E1093,2)</f>
        <v>11877.72</v>
      </c>
      <c r="H1093" s="217" t="str">
        <f>"F-"&amp;ROW(M378)</f>
        <v>F-378</v>
      </c>
      <c r="I1093" s="218" t="s">
        <v>1108</v>
      </c>
      <c r="J1093" s="997">
        <v>3.66</v>
      </c>
      <c r="K1093" s="280" t="s">
        <v>297</v>
      </c>
      <c r="L1093" s="221">
        <f>+E1093</f>
        <v>3245.28</v>
      </c>
      <c r="M1093" s="981">
        <f>ROUND(J1093*L1093,2)</f>
        <v>11877.72</v>
      </c>
    </row>
    <row r="1094" spans="1:13" ht="12.75" hidden="1" customHeight="1" x14ac:dyDescent="0.2">
      <c r="A1094" s="1002"/>
      <c r="B1094" s="998" t="s">
        <v>1112</v>
      </c>
      <c r="C1094" s="999">
        <f>ROUND(1/(C1090*D1090),2)</f>
        <v>6.67</v>
      </c>
      <c r="D1094" s="755" t="s">
        <v>41</v>
      </c>
      <c r="E1094" s="999">
        <v>330</v>
      </c>
      <c r="F1094" s="981">
        <f>ROUND(C1094*E1094,2)</f>
        <v>2201.1</v>
      </c>
      <c r="H1094" s="1002"/>
      <c r="I1094" s="998" t="s">
        <v>1112</v>
      </c>
      <c r="J1094" s="999">
        <f>ROUND(1/(J1090*K1090),2)</f>
        <v>6.67</v>
      </c>
      <c r="K1094" s="755" t="s">
        <v>41</v>
      </c>
      <c r="L1094" s="999">
        <v>330</v>
      </c>
      <c r="M1094" s="981">
        <f>ROUND(J1094*L1094,2)</f>
        <v>2201.1</v>
      </c>
    </row>
    <row r="1095" spans="1:13" ht="12.75" hidden="1" customHeight="1" x14ac:dyDescent="0.2">
      <c r="A1095" s="217" t="str">
        <f>"F-"&amp;ROW(F533)</f>
        <v>F-533</v>
      </c>
      <c r="B1095" s="998" t="s">
        <v>1109</v>
      </c>
      <c r="C1095" s="999">
        <v>1</v>
      </c>
      <c r="D1095" s="755" t="s">
        <v>88</v>
      </c>
      <c r="E1095" s="999">
        <f>VLOOKUP(A1091,$A$547:$F$551,6,0)</f>
        <v>903.63</v>
      </c>
      <c r="F1095" s="981">
        <f>ROUND(C1095*E1095,2)</f>
        <v>903.63</v>
      </c>
      <c r="H1095" s="217" t="str">
        <f>"F-"&amp;ROW(M533)</f>
        <v>F-533</v>
      </c>
      <c r="I1095" s="998" t="s">
        <v>1109</v>
      </c>
      <c r="J1095" s="999">
        <v>1</v>
      </c>
      <c r="K1095" s="755" t="s">
        <v>88</v>
      </c>
      <c r="L1095" s="999">
        <f>VLOOKUP(H1091,$A$547:$F$551,6,0)</f>
        <v>903.63</v>
      </c>
      <c r="M1095" s="981">
        <f>ROUND(J1095*L1095,2)</f>
        <v>903.63</v>
      </c>
    </row>
    <row r="1096" spans="1:13" ht="12.75" hidden="1" customHeight="1" x14ac:dyDescent="0.2">
      <c r="A1096" s="217" t="str">
        <f>"F-"&amp;ROW(F528)</f>
        <v>F-528</v>
      </c>
      <c r="B1096" s="998" t="s">
        <v>1110</v>
      </c>
      <c r="C1096" s="999">
        <f>IF(F1091="Industrial",0,1)</f>
        <v>0</v>
      </c>
      <c r="D1096" s="755" t="s">
        <v>88</v>
      </c>
      <c r="E1096" s="999">
        <f>IF(F1091="Industrial",0,F528)</f>
        <v>0</v>
      </c>
      <c r="F1096" s="981">
        <f>ROUND(C1096*E1096,2)</f>
        <v>0</v>
      </c>
      <c r="H1096" s="217" t="str">
        <f>"F-"&amp;ROW(M528)</f>
        <v>F-528</v>
      </c>
      <c r="I1096" s="1733" t="s">
        <v>1111</v>
      </c>
      <c r="J1096" s="999">
        <f>IF(M1091="Industrial",0,1)</f>
        <v>1</v>
      </c>
      <c r="K1096" s="755" t="s">
        <v>88</v>
      </c>
      <c r="L1096" s="999">
        <v>1000</v>
      </c>
      <c r="M1096" s="981">
        <f>ROUND(J1096*L1096,2)</f>
        <v>1000</v>
      </c>
    </row>
    <row r="1097" spans="1:13" ht="12.75" hidden="1" customHeight="1" thickBot="1" x14ac:dyDescent="0.25">
      <c r="A1097" s="232"/>
      <c r="B1097" s="233"/>
      <c r="C1097" s="284"/>
      <c r="D1097" s="285">
        <f>IF(F1091="Industrial",6,IF(F1091="c/ligadora",5,3))</f>
        <v>6</v>
      </c>
      <c r="E1097" s="606" t="s">
        <v>772</v>
      </c>
      <c r="F1097" s="1001">
        <f>ROUND(SUM(F1092:F1096),2)</f>
        <v>25432.45</v>
      </c>
      <c r="H1097" s="232"/>
      <c r="I1097" s="1734"/>
      <c r="J1097" s="284"/>
      <c r="K1097" s="285">
        <f>IF(M1091="Industrial",6,IF(M1091="c/ligadora",5,3))</f>
        <v>5</v>
      </c>
      <c r="L1097" s="606" t="s">
        <v>772</v>
      </c>
      <c r="M1097" s="1001">
        <f>ROUND(SUM(M1092:M1096),2)</f>
        <v>26432.45</v>
      </c>
    </row>
    <row r="1098" spans="1:13" ht="12.75" hidden="1" customHeight="1" thickTop="1" x14ac:dyDescent="0.2">
      <c r="H1098" s="130"/>
      <c r="I1098" s="130"/>
      <c r="J1098" s="177"/>
      <c r="K1098" s="69"/>
      <c r="L1098" s="177"/>
      <c r="M1098" s="177"/>
    </row>
    <row r="1099" spans="1:13" ht="12.75" hidden="1" customHeight="1" thickBot="1" x14ac:dyDescent="0.25">
      <c r="A1099" s="992">
        <v>280</v>
      </c>
      <c r="B1099" s="211" t="str">
        <f>"LOSA DE TECHO "&amp;FIXED(C1099)&amp;" - "&amp;FIXED(C1101)&amp;" QQ/M3"</f>
        <v>LOSA DE TECHO 0.15 - 1.87 QQ/M3</v>
      </c>
      <c r="C1099" s="993">
        <v>0.15</v>
      </c>
      <c r="D1099" s="905"/>
      <c r="E1099" s="994" t="s">
        <v>1107</v>
      </c>
      <c r="F1099" s="995" t="s">
        <v>547</v>
      </c>
      <c r="H1099" s="992">
        <v>280</v>
      </c>
      <c r="I1099" s="211" t="str">
        <f>"LOSA DE TECHO "&amp;FIXED(J1099)&amp;" - "&amp;FIXED(J1101)&amp;" QQ/M3"</f>
        <v>LOSA DE TECHO 0.15 - 1.87 QQ/M3</v>
      </c>
      <c r="J1099" s="993">
        <v>0.15</v>
      </c>
      <c r="K1099" s="905"/>
      <c r="L1099" s="994" t="s">
        <v>1107</v>
      </c>
      <c r="M1099" s="995" t="s">
        <v>546</v>
      </c>
    </row>
    <row r="1100" spans="1:13" ht="12.75" hidden="1" customHeight="1" thickTop="1" x14ac:dyDescent="0.2">
      <c r="A1100" s="996" t="str">
        <f>IF(F1099=$C$226,ADDRESS(MATCH(E1100,$C$1:$C$231,0),D1105),IF(F1099=$E$226,ADDRESS(MATCH(E1100,$E$1:$E$231,0),D1105),ADDRESS(MATCH(E1100,$F$1:$F$231,0),D1105)))</f>
        <v>$F$164</v>
      </c>
      <c r="B1100" s="213" t="str">
        <f>"HORMIGON "&amp;A1099&amp;" KG/CM2 + "&amp;(C1100-1)*100&amp;" % DESP."</f>
        <v>HORMIGON 280 KG/CM2 + 10 % DESP.</v>
      </c>
      <c r="C1100" s="216">
        <f>IF(F1099="Industrial",1.1,1.05)</f>
        <v>1.1000000000000001</v>
      </c>
      <c r="D1100" s="277" t="s">
        <v>88</v>
      </c>
      <c r="E1100" s="216">
        <f>VLOOKUP(A1099,$A$227:$F$231,D1105,0)</f>
        <v>9500</v>
      </c>
      <c r="F1100" s="977">
        <f>ROUND(C1100*E1100,2)</f>
        <v>10450</v>
      </c>
      <c r="H1100" s="996" t="e">
        <f>IF(M1099=$C$226,ADDRESS(MATCH(L1100,$C$1:$C$231,0),K1105),IF(M1099=$E$226,ADDRESS(MATCH(L1100,$E$1:$E$231,0),K1105),ADDRESS(MATCH(L1100,$F$1:$F$231,0),K1105)))</f>
        <v>#N/A</v>
      </c>
      <c r="I1100" s="213" t="str">
        <f>"HORMIGON "&amp;H1099&amp;" KG/CM2 + "&amp;(J1100-1)*100&amp;" % DESP."</f>
        <v>HORMIGON 280 KG/CM2 + 10 % DESP.</v>
      </c>
      <c r="J1100" s="216">
        <v>1.1000000000000001</v>
      </c>
      <c r="K1100" s="277" t="s">
        <v>88</v>
      </c>
      <c r="L1100" s="216">
        <v>9500</v>
      </c>
      <c r="M1100" s="977">
        <f>ROUND(J1100*L1100,2)</f>
        <v>10450</v>
      </c>
    </row>
    <row r="1101" spans="1:13" ht="12.75" hidden="1" customHeight="1" x14ac:dyDescent="0.2">
      <c r="A1101" s="217" t="str">
        <f>"F-"&amp;ROW(F378)</f>
        <v>F-378</v>
      </c>
      <c r="B1101" s="218" t="s">
        <v>1108</v>
      </c>
      <c r="C1101" s="997">
        <v>1.87</v>
      </c>
      <c r="D1101" s="280" t="s">
        <v>297</v>
      </c>
      <c r="E1101" s="221">
        <f>F378</f>
        <v>3245.28</v>
      </c>
      <c r="F1101" s="981">
        <f>ROUND(C1101*E1101,2)</f>
        <v>6068.67</v>
      </c>
      <c r="H1101" s="217" t="str">
        <f>"F-"&amp;ROW(M378)</f>
        <v>F-378</v>
      </c>
      <c r="I1101" s="218" t="s">
        <v>1108</v>
      </c>
      <c r="J1101" s="997">
        <v>1.87</v>
      </c>
      <c r="K1101" s="280" t="s">
        <v>297</v>
      </c>
      <c r="L1101" s="221">
        <f>+E1101</f>
        <v>3245.28</v>
      </c>
      <c r="M1101" s="981">
        <f>ROUND(J1101*L1101,2)</f>
        <v>6068.67</v>
      </c>
    </row>
    <row r="1102" spans="1:13" ht="12.75" hidden="1" customHeight="1" x14ac:dyDescent="0.2">
      <c r="A1102" s="1002"/>
      <c r="B1102" s="998" t="s">
        <v>1112</v>
      </c>
      <c r="C1102" s="999">
        <f>ROUND(1/C1099,2)</f>
        <v>6.67</v>
      </c>
      <c r="D1102" s="755" t="s">
        <v>124</v>
      </c>
      <c r="E1102" s="999">
        <v>260</v>
      </c>
      <c r="F1102" s="981">
        <f>ROUND(C1102*E1102,2)</f>
        <v>1734.2</v>
      </c>
      <c r="H1102" s="1002"/>
      <c r="I1102" s="998" t="s">
        <v>1112</v>
      </c>
      <c r="J1102" s="999">
        <f>ROUND(1/J1099,2)</f>
        <v>6.67</v>
      </c>
      <c r="K1102" s="755" t="s">
        <v>124</v>
      </c>
      <c r="L1102" s="999">
        <v>260</v>
      </c>
      <c r="M1102" s="981">
        <f>ROUND(J1102*L1102,2)</f>
        <v>1734.2</v>
      </c>
    </row>
    <row r="1103" spans="1:13" ht="12.75" hidden="1" customHeight="1" x14ac:dyDescent="0.2">
      <c r="A1103" s="217" t="str">
        <f>"F-"&amp;ROW(F533)</f>
        <v>F-533</v>
      </c>
      <c r="B1103" s="998" t="s">
        <v>1109</v>
      </c>
      <c r="C1103" s="999">
        <v>1</v>
      </c>
      <c r="D1103" s="755" t="s">
        <v>88</v>
      </c>
      <c r="E1103" s="999">
        <f>VLOOKUP(A1099,$A$547:$F$551,6,0)</f>
        <v>903.63</v>
      </c>
      <c r="F1103" s="981">
        <f>ROUND(C1103*E1103,2)</f>
        <v>903.63</v>
      </c>
      <c r="H1103" s="217" t="str">
        <f>"F-"&amp;ROW(M533)</f>
        <v>F-533</v>
      </c>
      <c r="I1103" s="998" t="s">
        <v>1109</v>
      </c>
      <c r="J1103" s="999">
        <v>1</v>
      </c>
      <c r="K1103" s="755" t="s">
        <v>88</v>
      </c>
      <c r="L1103" s="999">
        <f>VLOOKUP(H1099,$A$547:$F$551,6,0)</f>
        <v>903.63</v>
      </c>
      <c r="M1103" s="981">
        <f>ROUND(J1103*L1103,2)</f>
        <v>903.63</v>
      </c>
    </row>
    <row r="1104" spans="1:13" ht="12.75" hidden="1" customHeight="1" x14ac:dyDescent="0.2">
      <c r="A1104" s="217" t="str">
        <f>"F-"&amp;ROW(F529)</f>
        <v>F-529</v>
      </c>
      <c r="B1104" s="998" t="s">
        <v>1110</v>
      </c>
      <c r="C1104" s="999">
        <f>IF(F1099="Industrial",0,1)</f>
        <v>0</v>
      </c>
      <c r="D1104" s="755" t="s">
        <v>88</v>
      </c>
      <c r="E1104" s="999">
        <f>IF(F1099="Industrial",0,F529)</f>
        <v>0</v>
      </c>
      <c r="F1104" s="981">
        <f>ROUND(C1104*E1104,2)</f>
        <v>0</v>
      </c>
      <c r="H1104" s="217" t="str">
        <f>"F-"&amp;ROW(M529)</f>
        <v>F-529</v>
      </c>
      <c r="I1104" s="1733" t="s">
        <v>1111</v>
      </c>
      <c r="J1104" s="999">
        <v>1</v>
      </c>
      <c r="K1104" s="755" t="s">
        <v>88</v>
      </c>
      <c r="L1104" s="999">
        <v>1000</v>
      </c>
      <c r="M1104" s="981">
        <f>ROUND(J1104*L1104,2)</f>
        <v>1000</v>
      </c>
    </row>
    <row r="1105" spans="1:13" ht="12.75" hidden="1" customHeight="1" thickBot="1" x14ac:dyDescent="0.25">
      <c r="A1105" s="232"/>
      <c r="B1105" s="233"/>
      <c r="C1105" s="284"/>
      <c r="D1105" s="285">
        <f>IF(F1099="Industrial",6,IF(F1099="c/ligadora",5,3))</f>
        <v>6</v>
      </c>
      <c r="E1105" s="606" t="s">
        <v>772</v>
      </c>
      <c r="F1105" s="1001">
        <f>ROUND(SUM(F1100:F1104),2)</f>
        <v>19156.5</v>
      </c>
      <c r="H1105" s="232"/>
      <c r="I1105" s="1734"/>
      <c r="J1105" s="284"/>
      <c r="K1105" s="285">
        <f>IF(M1099="Industrial",6,IF(M1099="c/ligadora",5,3))</f>
        <v>5</v>
      </c>
      <c r="L1105" s="606" t="s">
        <v>772</v>
      </c>
      <c r="M1105" s="1001">
        <f>ROUND(SUM(M1100:M1104),2)</f>
        <v>20156.5</v>
      </c>
    </row>
    <row r="1106" spans="1:13" ht="12.75" hidden="1" customHeight="1" thickTop="1" x14ac:dyDescent="0.2"/>
    <row r="1107" spans="1:13" ht="12.75" hidden="1" customHeight="1" x14ac:dyDescent="0.2">
      <c r="B1107" s="1003" t="s">
        <v>1113</v>
      </c>
      <c r="C1107" s="1004">
        <v>0.6</v>
      </c>
      <c r="D1107" s="1004">
        <v>0.6</v>
      </c>
    </row>
    <row r="1108" spans="1:13" ht="12.75" hidden="1" customHeight="1" thickBot="1" x14ac:dyDescent="0.25">
      <c r="A1108" s="992">
        <v>280</v>
      </c>
      <c r="B1108" s="211" t="str">
        <f>"ZABALETA H.A. "&amp;FIXED(C1107)&amp;" x "&amp;FIXED(D1107)&amp;" - "&amp;FIXED(C1110)&amp;" QQ/M3"</f>
        <v>ZABALETA H.A. 0.60 x 0.60 - 1.89 QQ/M3</v>
      </c>
      <c r="C1108" s="904"/>
      <c r="D1108" s="905"/>
      <c r="E1108" s="994" t="s">
        <v>1107</v>
      </c>
      <c r="F1108" s="995" t="s">
        <v>547</v>
      </c>
      <c r="H1108" s="992">
        <v>280</v>
      </c>
      <c r="I1108" s="211" t="str">
        <f>"ZABALETA H.A. "&amp;FIXED(J1107)&amp;" x "&amp;FIXED(K1107)&amp;" - "&amp;FIXED(J1110)&amp;" QQ/M3"</f>
        <v>ZABALETA H.A. 0.00 x 0.00 - 1.89 QQ/M3</v>
      </c>
      <c r="J1108" s="904"/>
      <c r="K1108" s="905"/>
      <c r="L1108" s="994" t="s">
        <v>1107</v>
      </c>
      <c r="M1108" s="995" t="s">
        <v>546</v>
      </c>
    </row>
    <row r="1109" spans="1:13" ht="12.75" hidden="1" customHeight="1" thickTop="1" x14ac:dyDescent="0.2">
      <c r="A1109" s="996" t="str">
        <f>IF(F1108=$C$226,ADDRESS(MATCH(E1109,$C$1:$C$231,0),D1113),IF(F1108=$E$226,ADDRESS(MATCH(E1109,$E$1:$E$231,0),D1113),ADDRESS(MATCH(E1109,$F$1:$F$231,0),D1113)))</f>
        <v>$F$164</v>
      </c>
      <c r="B1109" s="213" t="str">
        <f>"HORMIGON "&amp;A1108&amp;" KG/CM2 + "&amp;(C1109-1)*100&amp;" % DESP."</f>
        <v>HORMIGON 280 KG/CM2 + 10 % DESP.</v>
      </c>
      <c r="C1109" s="216">
        <f>IF(F1108="Industrial",1.1,1.05)</f>
        <v>1.1000000000000001</v>
      </c>
      <c r="D1109" s="277" t="s">
        <v>88</v>
      </c>
      <c r="E1109" s="216">
        <f>VLOOKUP(A1108,$A$227:$F$231,D1113,0)</f>
        <v>9500</v>
      </c>
      <c r="F1109" s="977">
        <f>ROUND(C1109*E1109,2)</f>
        <v>10450</v>
      </c>
      <c r="H1109" s="996" t="e">
        <f>IF(M1108=$C$226,ADDRESS(MATCH(L1109,$C$1:$C$231,0),K1113),IF(M1108=$E$226,ADDRESS(MATCH(L1109,$E$1:$E$231,0),K1113),ADDRESS(MATCH(L1109,$F$1:$F$231,0),K1113)))</f>
        <v>#N/A</v>
      </c>
      <c r="I1109" s="213" t="str">
        <f>"HORMIGON "&amp;H1108&amp;" KG/CM2 + "&amp;(J1109-1)*100&amp;" % DESP."</f>
        <v>HORMIGON 280 KG/CM2 + 10 % DESP.</v>
      </c>
      <c r="J1109" s="216">
        <v>1.1000000000000001</v>
      </c>
      <c r="K1109" s="277" t="s">
        <v>88</v>
      </c>
      <c r="L1109" s="216">
        <v>9500</v>
      </c>
      <c r="M1109" s="977">
        <f>ROUND(J1109*L1109,2)</f>
        <v>10450</v>
      </c>
    </row>
    <row r="1110" spans="1:13" ht="12.75" hidden="1" customHeight="1" x14ac:dyDescent="0.2">
      <c r="A1110" s="217" t="str">
        <f>"F-"&amp;ROW(F426)</f>
        <v>F-426</v>
      </c>
      <c r="B1110" s="218" t="s">
        <v>1108</v>
      </c>
      <c r="C1110" s="997">
        <v>1.89</v>
      </c>
      <c r="D1110" s="280" t="s">
        <v>297</v>
      </c>
      <c r="E1110" s="221">
        <f>F378</f>
        <v>3245.28</v>
      </c>
      <c r="F1110" s="981">
        <f>ROUND(C1110*E1110,2)</f>
        <v>6133.58</v>
      </c>
      <c r="H1110" s="217" t="str">
        <f>"F-"&amp;ROW(M426)</f>
        <v>F-426</v>
      </c>
      <c r="I1110" s="218" t="s">
        <v>1108</v>
      </c>
      <c r="J1110" s="997">
        <v>1.89</v>
      </c>
      <c r="K1110" s="280" t="s">
        <v>297</v>
      </c>
      <c r="L1110" s="221">
        <f>+E1110</f>
        <v>3245.28</v>
      </c>
      <c r="M1110" s="981">
        <f>ROUND(J1110*L1110,2)</f>
        <v>6133.58</v>
      </c>
    </row>
    <row r="1111" spans="1:13" ht="12.75" hidden="1" customHeight="1" x14ac:dyDescent="0.2">
      <c r="A1111" s="217" t="str">
        <f>"F-"&amp;ROW(F567)</f>
        <v>F-567</v>
      </c>
      <c r="B1111" s="998" t="s">
        <v>1109</v>
      </c>
      <c r="C1111" s="999">
        <v>1</v>
      </c>
      <c r="D1111" s="755" t="s">
        <v>88</v>
      </c>
      <c r="E1111" s="999">
        <f>VLOOKUP(A1108,$A$547:$F$551,6,0)</f>
        <v>903.63</v>
      </c>
      <c r="F1111" s="981">
        <f>ROUND(C1111*E1111,2)</f>
        <v>903.63</v>
      </c>
      <c r="H1111" s="217" t="str">
        <f>"F-"&amp;ROW(M567)</f>
        <v>F-567</v>
      </c>
      <c r="I1111" s="998" t="s">
        <v>1109</v>
      </c>
      <c r="J1111" s="999">
        <v>1</v>
      </c>
      <c r="K1111" s="755" t="s">
        <v>88</v>
      </c>
      <c r="L1111" s="999">
        <f>VLOOKUP(H1108,$A$547:$F$551,6,0)</f>
        <v>903.63</v>
      </c>
      <c r="M1111" s="981">
        <f>ROUND(J1111*L1111,2)</f>
        <v>903.63</v>
      </c>
    </row>
    <row r="1112" spans="1:13" ht="12.75" hidden="1" customHeight="1" x14ac:dyDescent="0.2">
      <c r="A1112" s="217" t="str">
        <f>"F-"&amp;ROW(F561)</f>
        <v>F-561</v>
      </c>
      <c r="B1112" s="998" t="s">
        <v>1110</v>
      </c>
      <c r="C1112" s="999">
        <f>IF(F1108="Industrial",0,1)</f>
        <v>0</v>
      </c>
      <c r="D1112" s="755" t="s">
        <v>88</v>
      </c>
      <c r="E1112" s="999">
        <f>IF(F1108="Industrial",0,F561)</f>
        <v>0</v>
      </c>
      <c r="F1112" s="981">
        <f>ROUND(C1112*E1112,2)</f>
        <v>0</v>
      </c>
      <c r="H1112" s="217" t="str">
        <f>"F-"&amp;ROW(M561)</f>
        <v>F-561</v>
      </c>
      <c r="I1112" s="1733" t="s">
        <v>1111</v>
      </c>
      <c r="J1112" s="999">
        <f>IF(M1108="Industrial",0,1)</f>
        <v>1</v>
      </c>
      <c r="K1112" s="755" t="s">
        <v>88</v>
      </c>
      <c r="L1112" s="999">
        <v>1000</v>
      </c>
      <c r="M1112" s="981">
        <f>ROUND(J1112*L1112,2)</f>
        <v>1000</v>
      </c>
    </row>
    <row r="1113" spans="1:13" ht="12.75" hidden="1" customHeight="1" thickBot="1" x14ac:dyDescent="0.25">
      <c r="A1113" s="232"/>
      <c r="B1113" s="233"/>
      <c r="C1113" s="284"/>
      <c r="D1113" s="285">
        <f>IF(F1108="Industrial",6,IF(F1108="c/ligadora",5,3))</f>
        <v>6</v>
      </c>
      <c r="E1113" s="606" t="s">
        <v>772</v>
      </c>
      <c r="F1113" s="1001">
        <f>ROUND(SUM(F1109:F1112),2)</f>
        <v>17487.21</v>
      </c>
      <c r="H1113" s="232"/>
      <c r="I1113" s="1734"/>
      <c r="J1113" s="284"/>
      <c r="K1113" s="285">
        <f>IF(M1108="Industrial",6,IF(M1108="c/ligadora",5,3))</f>
        <v>5</v>
      </c>
      <c r="L1113" s="606" t="s">
        <v>772</v>
      </c>
      <c r="M1113" s="1001">
        <f>ROUND(SUM(M1109:M1112),2)</f>
        <v>18487.21</v>
      </c>
    </row>
    <row r="1114" spans="1:13" ht="12.75" hidden="1" customHeight="1" thickTop="1" x14ac:dyDescent="0.2">
      <c r="H1114" s="130"/>
      <c r="I1114" s="130"/>
      <c r="J1114" s="177"/>
      <c r="K1114" s="69"/>
      <c r="L1114" s="177"/>
      <c r="M1114" s="177"/>
    </row>
    <row r="1115" spans="1:13" ht="12.75" hidden="1" customHeight="1" x14ac:dyDescent="0.2">
      <c r="A1115" s="1731" t="s">
        <v>1114</v>
      </c>
      <c r="B1115" s="1731"/>
      <c r="C1115" s="1731"/>
      <c r="D1115" s="1731"/>
      <c r="E1115" s="1731"/>
      <c r="F1115" s="1731"/>
    </row>
    <row r="1116" spans="1:13" ht="12.75" hidden="1" customHeight="1" thickBot="1" x14ac:dyDescent="0.25">
      <c r="A1116" s="992">
        <v>210</v>
      </c>
      <c r="B1116" s="211" t="str">
        <f>"LOSA DE TECHO "&amp;FIXED(C1116)&amp;" - "&amp;FIXED(C1118)&amp;" QQ/M3"</f>
        <v>LOSA DE TECHO 0.07 - 6.46 QQ/M3</v>
      </c>
      <c r="C1116" s="993">
        <v>7.0000000000000007E-2</v>
      </c>
      <c r="D1116" s="905"/>
      <c r="E1116" s="994" t="s">
        <v>1107</v>
      </c>
      <c r="F1116" s="995" t="s">
        <v>545</v>
      </c>
    </row>
    <row r="1117" spans="1:13" ht="12.75" hidden="1" customHeight="1" thickTop="1" x14ac:dyDescent="0.2">
      <c r="A1117" s="996" t="str">
        <f>IF(F1116=$C$226,ADDRESS(MATCH(E1117,$C$1:$C$231,0),D1122),IF(F1116=$E$226,ADDRESS(MATCH(E1117,$E$1:$E$231,0),D1122),ADDRESS(MATCH(E1117,$F$1:$F$231,0),D1122)))</f>
        <v>$C$229</v>
      </c>
      <c r="B1117" s="213" t="str">
        <f>"HORMIGON "&amp;A1116&amp;" KG/CM2 + "&amp;(C1117-1)*100&amp;" % DESP."</f>
        <v>HORMIGON 210 KG/CM2 + 5 % DESP.</v>
      </c>
      <c r="C1117" s="216">
        <f>IF(F1116="Industrial",1.1,1.05)</f>
        <v>1.05</v>
      </c>
      <c r="D1117" s="277" t="s">
        <v>88</v>
      </c>
      <c r="E1117" s="216">
        <f>VLOOKUP(A1116,$A$227:$F$231,D1122,0)</f>
        <v>6290.5282857142847</v>
      </c>
      <c r="F1117" s="977">
        <f>ROUND(C1117*E1117,2)</f>
        <v>6605.05</v>
      </c>
    </row>
    <row r="1118" spans="1:13" ht="12.75" hidden="1" customHeight="1" x14ac:dyDescent="0.2">
      <c r="A1118" s="217" t="str">
        <f>"F-"&amp;ROW(F395)</f>
        <v>F-395</v>
      </c>
      <c r="B1118" s="218" t="s">
        <v>1108</v>
      </c>
      <c r="C1118" s="997">
        <v>6.46</v>
      </c>
      <c r="D1118" s="280" t="s">
        <v>297</v>
      </c>
      <c r="E1118" s="221">
        <f>F378</f>
        <v>3245.28</v>
      </c>
      <c r="F1118" s="981">
        <f>ROUND(C1118*E1118,2)</f>
        <v>20964.509999999998</v>
      </c>
    </row>
    <row r="1119" spans="1:13" ht="12.75" hidden="1" customHeight="1" x14ac:dyDescent="0.2">
      <c r="A1119" s="1002"/>
      <c r="B1119" s="998" t="s">
        <v>1112</v>
      </c>
      <c r="C1119" s="999">
        <f>ROUND(1/C1116,2)</f>
        <v>14.29</v>
      </c>
      <c r="D1119" s="755" t="s">
        <v>124</v>
      </c>
      <c r="E1119" s="999">
        <v>260</v>
      </c>
      <c r="F1119" s="981">
        <f>ROUND(C1119*E1119,2)</f>
        <v>3715.4</v>
      </c>
    </row>
    <row r="1120" spans="1:13" ht="12.75" hidden="1" customHeight="1" x14ac:dyDescent="0.2">
      <c r="A1120" s="217" t="str">
        <f>"F-"&amp;ROW(F550)</f>
        <v>F-550</v>
      </c>
      <c r="B1120" s="998" t="s">
        <v>1109</v>
      </c>
      <c r="C1120" s="999">
        <v>1</v>
      </c>
      <c r="D1120" s="755" t="s">
        <v>88</v>
      </c>
      <c r="E1120" s="999">
        <f>VLOOKUP(A1116,$A$547:$F$551,6,0)</f>
        <v>769.05</v>
      </c>
      <c r="F1120" s="981">
        <f>ROUND(C1120*E1120,2)</f>
        <v>769.05</v>
      </c>
    </row>
    <row r="1121" spans="1:6" ht="12.75" hidden="1" customHeight="1" x14ac:dyDescent="0.2">
      <c r="A1121" s="217" t="str">
        <f>"F-"&amp;ROW(F546)</f>
        <v>F-546</v>
      </c>
      <c r="B1121" s="998" t="s">
        <v>1110</v>
      </c>
      <c r="C1121" s="999">
        <f>IF(F1116="Industrial",0,1)</f>
        <v>1</v>
      </c>
      <c r="D1121" s="755" t="s">
        <v>88</v>
      </c>
      <c r="E1121" s="999">
        <f>IF(F1116="Industrial",0,F546)</f>
        <v>192.26</v>
      </c>
      <c r="F1121" s="981">
        <f>ROUND(C1121*E1121,2)</f>
        <v>192.26</v>
      </c>
    </row>
    <row r="1122" spans="1:6" ht="12.75" hidden="1" customHeight="1" thickBot="1" x14ac:dyDescent="0.25">
      <c r="A1122" s="232"/>
      <c r="B1122" s="233"/>
      <c r="C1122" s="284"/>
      <c r="D1122" s="285">
        <f>IF(F1116="Industrial",6,IF(F1116="c/ligadora",5,3))</f>
        <v>3</v>
      </c>
      <c r="E1122" s="606" t="s">
        <v>772</v>
      </c>
      <c r="F1122" s="1001">
        <f>ROUND(SUM(F1117:F1121),2)</f>
        <v>32246.27</v>
      </c>
    </row>
    <row r="1123" spans="1:6" ht="12.75" hidden="1" customHeight="1" thickTop="1" x14ac:dyDescent="0.2"/>
    <row r="1124" spans="1:6" ht="12.75" hidden="1" customHeight="1" thickBot="1" x14ac:dyDescent="0.25">
      <c r="A1124" s="992">
        <v>210</v>
      </c>
      <c r="B1124" s="211" t="str">
        <f>"MURO "&amp;FIXED(C1124)&amp;" - "&amp;FIXED(C1126)&amp;" QQ/M3"</f>
        <v>MURO 0.07 - 0.99 QQ/M3</v>
      </c>
      <c r="C1124" s="993">
        <v>7.0000000000000007E-2</v>
      </c>
      <c r="D1124" s="905"/>
      <c r="E1124" s="994" t="s">
        <v>1107</v>
      </c>
      <c r="F1124" s="995" t="s">
        <v>545</v>
      </c>
    </row>
    <row r="1125" spans="1:6" ht="12.75" hidden="1" customHeight="1" thickTop="1" x14ac:dyDescent="0.2">
      <c r="A1125" s="996" t="str">
        <f>IF(F1124=$C$226,ADDRESS(MATCH(E1125,$C$1:$C$231,0),D1130),IF(F1124=$E$226,ADDRESS(MATCH(E1125,$E$1:$E$231,0),D1130),ADDRESS(MATCH(E1125,$F$1:$F$231,0),D1130)))</f>
        <v>$C$229</v>
      </c>
      <c r="B1125" s="213" t="str">
        <f>"HORMIGON "&amp;A1124&amp;" KG/CM2 + "&amp;(C1125-1)*100&amp;" % DESP."</f>
        <v>HORMIGON 210 KG/CM2 + 5 % DESP.</v>
      </c>
      <c r="C1125" s="216">
        <f>IF(F1124="Industrial",1.1,1.05)</f>
        <v>1.05</v>
      </c>
      <c r="D1125" s="277" t="s">
        <v>88</v>
      </c>
      <c r="E1125" s="216">
        <f>VLOOKUP(A1124,$A$227:$F$231,D1130,0)</f>
        <v>6290.5282857142847</v>
      </c>
      <c r="F1125" s="977">
        <f>ROUND(C1125*E1125,2)</f>
        <v>6605.05</v>
      </c>
    </row>
    <row r="1126" spans="1:6" ht="12.75" hidden="1" customHeight="1" x14ac:dyDescent="0.2">
      <c r="A1126" s="217" t="str">
        <f>"F-"&amp;ROW(F451)</f>
        <v>F-451</v>
      </c>
      <c r="B1126" s="218" t="s">
        <v>1108</v>
      </c>
      <c r="C1126" s="997">
        <v>0.99</v>
      </c>
      <c r="D1126" s="280" t="s">
        <v>297</v>
      </c>
      <c r="E1126" s="221">
        <f>F378</f>
        <v>3245.28</v>
      </c>
      <c r="F1126" s="981">
        <f>ROUND(C1126*E1126,2)</f>
        <v>3212.83</v>
      </c>
    </row>
    <row r="1127" spans="1:6" ht="12.75" hidden="1" customHeight="1" x14ac:dyDescent="0.2">
      <c r="A1127" s="1002"/>
      <c r="B1127" s="998" t="s">
        <v>1112</v>
      </c>
      <c r="C1127" s="999">
        <f>ROUND(1/C1124,2)</f>
        <v>14.29</v>
      </c>
      <c r="D1127" s="755" t="s">
        <v>124</v>
      </c>
      <c r="E1127" s="999">
        <v>1000</v>
      </c>
      <c r="F1127" s="981">
        <f>ROUND(C1127*E1127,2)</f>
        <v>14290</v>
      </c>
    </row>
    <row r="1128" spans="1:6" ht="12.75" hidden="1" customHeight="1" x14ac:dyDescent="0.2">
      <c r="A1128" s="217" t="str">
        <f>"F-"&amp;ROW(F592)</f>
        <v>F-592</v>
      </c>
      <c r="B1128" s="998" t="s">
        <v>1109</v>
      </c>
      <c r="C1128" s="999">
        <v>1</v>
      </c>
      <c r="D1128" s="755" t="s">
        <v>88</v>
      </c>
      <c r="E1128" s="999">
        <f>VLOOKUP(A1124,$A$547:$F$551,6,0)</f>
        <v>769.05</v>
      </c>
      <c r="F1128" s="981">
        <f>ROUND(C1128*E1128,2)</f>
        <v>769.05</v>
      </c>
    </row>
    <row r="1129" spans="1:6" ht="12.75" hidden="1" customHeight="1" x14ac:dyDescent="0.2">
      <c r="A1129" s="217" t="str">
        <f>"F-"&amp;ROW(F586)</f>
        <v>F-586</v>
      </c>
      <c r="B1129" s="998" t="s">
        <v>1110</v>
      </c>
      <c r="C1129" s="999">
        <f>IF(F1124="Industrial",0,1)</f>
        <v>1</v>
      </c>
      <c r="D1129" s="755" t="s">
        <v>88</v>
      </c>
      <c r="E1129" s="999">
        <f>IF(F1125="Industrial",0,F586)</f>
        <v>0</v>
      </c>
      <c r="F1129" s="981">
        <f>ROUND(C1129*E1129,2)</f>
        <v>0</v>
      </c>
    </row>
    <row r="1130" spans="1:6" ht="12.75" hidden="1" customHeight="1" thickBot="1" x14ac:dyDescent="0.25">
      <c r="A1130" s="232"/>
      <c r="B1130" s="233"/>
      <c r="C1130" s="284"/>
      <c r="D1130" s="285">
        <f>IF(F1124="Industrial",6,IF(F1124="c/ligadora",5,3))</f>
        <v>3</v>
      </c>
      <c r="E1130" s="606" t="s">
        <v>772</v>
      </c>
      <c r="F1130" s="1001">
        <f>ROUND(SUM(F1125:F1129),2)</f>
        <v>24876.93</v>
      </c>
    </row>
    <row r="1131" spans="1:6" ht="12.75" hidden="1" customHeight="1" thickTop="1" x14ac:dyDescent="0.2"/>
    <row r="1132" spans="1:6" ht="12.75" hidden="1" customHeight="1" x14ac:dyDescent="0.2">
      <c r="B1132" s="1003" t="s">
        <v>1113</v>
      </c>
      <c r="C1132" s="1004">
        <v>0.12</v>
      </c>
      <c r="D1132" s="1004">
        <v>0.19</v>
      </c>
    </row>
    <row r="1133" spans="1:6" ht="12.75" hidden="1" customHeight="1" thickBot="1" x14ac:dyDescent="0.25">
      <c r="A1133" s="992">
        <v>210</v>
      </c>
      <c r="B1133" s="211" t="str">
        <f>"VIGA "&amp;FIXED(C1132)&amp;" x "&amp;FIXED(D1132)&amp;" - "&amp;FIXED(C1135)&amp;" QQ/M3"</f>
        <v>VIGA 0.12 x 0.19 - 6.37 QQ/M3</v>
      </c>
      <c r="C1133" s="904"/>
      <c r="D1133" s="905"/>
      <c r="E1133" s="994" t="s">
        <v>1107</v>
      </c>
      <c r="F1133" s="995" t="s">
        <v>545</v>
      </c>
    </row>
    <row r="1134" spans="1:6" ht="12.75" hidden="1" customHeight="1" thickTop="1" x14ac:dyDescent="0.2">
      <c r="A1134" s="996" t="str">
        <f>IF(F1133=$C$226,ADDRESS(MATCH(E1134,$C$1:$C$231,0),D1139),IF(F1133=$E$226,ADDRESS(MATCH(E1134,$E$1:$E$231,0),D1139),ADDRESS(MATCH(E1134,$F$1:$F$231,0),D1139)))</f>
        <v>$C$229</v>
      </c>
      <c r="B1134" s="213" t="str">
        <f>"HORMIGON "&amp;A1133&amp;" KG/CM2 + "&amp;(C1134-1)*100&amp;" % DESP."</f>
        <v>HORMIGON 210 KG/CM2 + 5 % DESP.</v>
      </c>
      <c r="C1134" s="216">
        <f>IF(F1133="Industrial",1.1,1.05)</f>
        <v>1.05</v>
      </c>
      <c r="D1134" s="277" t="s">
        <v>88</v>
      </c>
      <c r="E1134" s="216">
        <f>VLOOKUP(A1133,$A$227:$F$231,D1139,0)</f>
        <v>6290.5282857142847</v>
      </c>
      <c r="F1134" s="977">
        <f>ROUND(C1134*E1134,2)</f>
        <v>6605.05</v>
      </c>
    </row>
    <row r="1135" spans="1:6" ht="12.75" hidden="1" customHeight="1" x14ac:dyDescent="0.2">
      <c r="A1135" s="217" t="str">
        <f>"F-"&amp;ROW(F434)</f>
        <v>F-434</v>
      </c>
      <c r="B1135" s="218" t="s">
        <v>1108</v>
      </c>
      <c r="C1135" s="997">
        <v>6.37</v>
      </c>
      <c r="D1135" s="280" t="s">
        <v>297</v>
      </c>
      <c r="E1135" s="221">
        <f>F378</f>
        <v>3245.28</v>
      </c>
      <c r="F1135" s="981">
        <f>ROUND(C1135*E1135,2)</f>
        <v>20672.43</v>
      </c>
    </row>
    <row r="1136" spans="1:6" ht="12.75" hidden="1" customHeight="1" x14ac:dyDescent="0.2">
      <c r="A1136" s="1002"/>
      <c r="B1136" s="998" t="s">
        <v>1112</v>
      </c>
      <c r="C1136" s="999">
        <f>ROUND(1/(C1132*D1132),2)</f>
        <v>43.86</v>
      </c>
      <c r="D1136" s="755" t="s">
        <v>41</v>
      </c>
      <c r="E1136" s="999">
        <v>0</v>
      </c>
      <c r="F1136" s="981">
        <f>ROUND(C1136*E1136,2)</f>
        <v>0</v>
      </c>
    </row>
    <row r="1137" spans="1:9" ht="12.75" hidden="1" customHeight="1" x14ac:dyDescent="0.2">
      <c r="A1137" s="217" t="str">
        <f>"F-"&amp;ROW(F575)</f>
        <v>F-575</v>
      </c>
      <c r="B1137" s="998" t="s">
        <v>1109</v>
      </c>
      <c r="C1137" s="999">
        <v>1</v>
      </c>
      <c r="D1137" s="755" t="s">
        <v>88</v>
      </c>
      <c r="E1137" s="999">
        <f>VLOOKUP(A1133,$A$547:$F$551,6,0)</f>
        <v>769.05</v>
      </c>
      <c r="F1137" s="981">
        <f>ROUND(C1137*E1137,2)</f>
        <v>769.05</v>
      </c>
    </row>
    <row r="1138" spans="1:9" ht="12.75" hidden="1" customHeight="1" x14ac:dyDescent="0.2">
      <c r="A1138" s="217" t="str">
        <f>"F-"&amp;ROW(F570)</f>
        <v>F-570</v>
      </c>
      <c r="B1138" s="998" t="s">
        <v>1110</v>
      </c>
      <c r="C1138" s="999">
        <f>IF(F1133="Industrial",0,1)</f>
        <v>1</v>
      </c>
      <c r="D1138" s="755" t="s">
        <v>88</v>
      </c>
      <c r="E1138" s="999">
        <f>IF(F1133="Industrial",0,F570)</f>
        <v>0</v>
      </c>
      <c r="F1138" s="981">
        <f>ROUND(C1138*E1138,2)</f>
        <v>0</v>
      </c>
    </row>
    <row r="1139" spans="1:9" ht="12.75" hidden="1" customHeight="1" thickBot="1" x14ac:dyDescent="0.25">
      <c r="A1139" s="232"/>
      <c r="B1139" s="233"/>
      <c r="C1139" s="284"/>
      <c r="D1139" s="285">
        <f>IF(F1133="Industrial",6,IF(F1133="c/ligadora",5,3))</f>
        <v>3</v>
      </c>
      <c r="E1139" s="606" t="s">
        <v>772</v>
      </c>
      <c r="F1139" s="1001">
        <f>ROUND(SUM(F1134:F1138),2)</f>
        <v>28046.53</v>
      </c>
    </row>
    <row r="1140" spans="1:9" ht="12.75" hidden="1" customHeight="1" thickTop="1" x14ac:dyDescent="0.2"/>
    <row r="1141" spans="1:9" ht="12.75" hidden="1" customHeight="1" thickBot="1" x14ac:dyDescent="0.25">
      <c r="B1141" s="196" t="s">
        <v>1114</v>
      </c>
    </row>
    <row r="1142" spans="1:9" ht="12.75" hidden="1" customHeight="1" thickTop="1" x14ac:dyDescent="0.2">
      <c r="A1142" s="134"/>
      <c r="B1142" s="197" t="s">
        <v>1115</v>
      </c>
      <c r="C1142" s="137">
        <v>0.02</v>
      </c>
      <c r="D1142" s="249" t="s">
        <v>88</v>
      </c>
      <c r="E1142" s="137">
        <f>F1122</f>
        <v>32246.27</v>
      </c>
      <c r="F1142" s="977">
        <f t="shared" ref="F1142:F1148" si="23">ROUND(C1142*E1142,2)</f>
        <v>644.92999999999995</v>
      </c>
    </row>
    <row r="1143" spans="1:9" ht="12.75" hidden="1" customHeight="1" x14ac:dyDescent="0.2">
      <c r="A1143" s="126"/>
      <c r="B1143" s="198" t="s">
        <v>122</v>
      </c>
      <c r="C1143" s="140">
        <v>0.12</v>
      </c>
      <c r="D1143" s="250" t="s">
        <v>88</v>
      </c>
      <c r="E1143" s="140">
        <f>F1130</f>
        <v>24876.93</v>
      </c>
      <c r="F1143" s="981">
        <f t="shared" si="23"/>
        <v>2985.23</v>
      </c>
    </row>
    <row r="1144" spans="1:9" ht="12.75" hidden="1" customHeight="1" x14ac:dyDescent="0.2">
      <c r="A1144" s="126"/>
      <c r="B1144" s="198" t="s">
        <v>1116</v>
      </c>
      <c r="C1144" s="140">
        <v>0.01</v>
      </c>
      <c r="D1144" s="250" t="s">
        <v>88</v>
      </c>
      <c r="E1144" s="140">
        <f>F1139</f>
        <v>28046.53</v>
      </c>
      <c r="F1144" s="981">
        <f t="shared" si="23"/>
        <v>280.47000000000003</v>
      </c>
    </row>
    <row r="1145" spans="1:9" ht="12.75" hidden="1" customHeight="1" x14ac:dyDescent="0.2">
      <c r="A1145" s="126"/>
      <c r="B1145" s="198" t="s">
        <v>726</v>
      </c>
      <c r="C1145" s="140">
        <v>0.08</v>
      </c>
      <c r="D1145" s="250" t="s">
        <v>124</v>
      </c>
      <c r="E1145" s="140">
        <f>F311</f>
        <v>380.97</v>
      </c>
      <c r="F1145" s="981">
        <f t="shared" si="23"/>
        <v>30.48</v>
      </c>
    </row>
    <row r="1146" spans="1:9" ht="12.75" hidden="1" customHeight="1" x14ac:dyDescent="0.2">
      <c r="A1146" s="126"/>
      <c r="B1146" s="198" t="s">
        <v>1117</v>
      </c>
      <c r="C1146" s="140">
        <v>0.34</v>
      </c>
      <c r="D1146" s="250" t="s">
        <v>124</v>
      </c>
      <c r="E1146" s="140">
        <f>F350</f>
        <v>572.17000000000007</v>
      </c>
      <c r="F1146" s="981">
        <f t="shared" si="23"/>
        <v>194.54</v>
      </c>
      <c r="I1146" s="66">
        <f>0.58*0.58</f>
        <v>0.33639999999999998</v>
      </c>
    </row>
    <row r="1147" spans="1:9" ht="12.75" hidden="1" customHeight="1" x14ac:dyDescent="0.2">
      <c r="A1147" s="126"/>
      <c r="B1147" s="198" t="s">
        <v>127</v>
      </c>
      <c r="C1147" s="140">
        <v>4.8</v>
      </c>
      <c r="D1147" s="250" t="s">
        <v>41</v>
      </c>
      <c r="E1147" s="140">
        <f>F356</f>
        <v>97.18</v>
      </c>
      <c r="F1147" s="981">
        <f t="shared" si="23"/>
        <v>466.46</v>
      </c>
    </row>
    <row r="1148" spans="1:9" ht="12.75" hidden="1" customHeight="1" x14ac:dyDescent="0.2">
      <c r="A1148" s="126"/>
      <c r="B1148" s="198" t="s">
        <v>1118</v>
      </c>
      <c r="C1148" s="140">
        <v>0.24</v>
      </c>
      <c r="D1148" s="250" t="s">
        <v>124</v>
      </c>
      <c r="E1148" s="1005">
        <v>75</v>
      </c>
      <c r="F1148" s="981">
        <f t="shared" si="23"/>
        <v>18</v>
      </c>
      <c r="I1148" s="66">
        <f>0.3*0.3</f>
        <v>0.09</v>
      </c>
    </row>
    <row r="1149" spans="1:9" ht="12.75" hidden="1" customHeight="1" thickBot="1" x14ac:dyDescent="0.25">
      <c r="A1149" s="142"/>
      <c r="B1149" s="421"/>
      <c r="C1149" s="146"/>
      <c r="D1149" s="188"/>
      <c r="E1149" s="606" t="s">
        <v>1119</v>
      </c>
      <c r="F1149" s="153">
        <f>SUM(F1142:F1148)</f>
        <v>4620.1100000000006</v>
      </c>
      <c r="I1149" s="66">
        <f>I1148*4</f>
        <v>0.36</v>
      </c>
    </row>
    <row r="1150" spans="1:9" ht="12.75" hidden="1" customHeight="1" thickTop="1" x14ac:dyDescent="0.2"/>
    <row r="1151" spans="1:9" ht="12.75" hidden="1" customHeight="1" thickBot="1" x14ac:dyDescent="0.25">
      <c r="A1151" s="205"/>
      <c r="B1151" s="211" t="s">
        <v>1120</v>
      </c>
      <c r="C1151" s="1006">
        <v>11.35</v>
      </c>
      <c r="D1151" s="905" t="s">
        <v>41</v>
      </c>
      <c r="E1151" s="904"/>
      <c r="F1151" s="904"/>
    </row>
    <row r="1152" spans="1:9" ht="12.75" hidden="1" customHeight="1" thickTop="1" x14ac:dyDescent="0.2">
      <c r="A1152" s="276"/>
      <c r="B1152" s="1007" t="s">
        <v>1121</v>
      </c>
      <c r="C1152" s="216"/>
      <c r="D1152" s="277"/>
      <c r="E1152" s="216"/>
      <c r="F1152" s="1008"/>
    </row>
    <row r="1153" spans="1:12" ht="12.75" hidden="1" customHeight="1" x14ac:dyDescent="0.2">
      <c r="A1153" s="228"/>
      <c r="B1153" s="218" t="s">
        <v>1122</v>
      </c>
      <c r="C1153" s="221">
        <v>4</v>
      </c>
      <c r="D1153" s="280" t="s">
        <v>8</v>
      </c>
      <c r="E1153" s="221">
        <v>3600</v>
      </c>
      <c r="F1153" s="981">
        <f t="shared" ref="F1153:F1160" si="24">ROUND(C1153*E1153,2)</f>
        <v>14400</v>
      </c>
      <c r="K1153" s="1009"/>
    </row>
    <row r="1154" spans="1:12" ht="12.75" hidden="1" customHeight="1" x14ac:dyDescent="0.2">
      <c r="A1154" s="228"/>
      <c r="B1154" s="218" t="s">
        <v>1123</v>
      </c>
      <c r="C1154" s="221">
        <v>4</v>
      </c>
      <c r="D1154" s="280" t="s">
        <v>8</v>
      </c>
      <c r="E1154" s="221">
        <v>3600</v>
      </c>
      <c r="F1154" s="981">
        <f t="shared" si="24"/>
        <v>14400</v>
      </c>
      <c r="K1154" s="1009"/>
    </row>
    <row r="1155" spans="1:12" ht="12.75" hidden="1" customHeight="1" x14ac:dyDescent="0.2">
      <c r="A1155" s="228"/>
      <c r="B1155" s="218" t="s">
        <v>1124</v>
      </c>
      <c r="C1155" s="221">
        <v>2</v>
      </c>
      <c r="D1155" s="280" t="s">
        <v>8</v>
      </c>
      <c r="E1155" s="221">
        <v>3600</v>
      </c>
      <c r="F1155" s="981">
        <f t="shared" si="24"/>
        <v>7200</v>
      </c>
      <c r="K1155" s="1009"/>
    </row>
    <row r="1156" spans="1:12" ht="12.75" hidden="1" customHeight="1" x14ac:dyDescent="0.2">
      <c r="A1156" s="228"/>
      <c r="B1156" s="218" t="s">
        <v>1125</v>
      </c>
      <c r="C1156" s="221">
        <v>2</v>
      </c>
      <c r="D1156" s="280" t="s">
        <v>8</v>
      </c>
      <c r="E1156" s="221">
        <v>3600</v>
      </c>
      <c r="F1156" s="981">
        <f t="shared" si="24"/>
        <v>7200</v>
      </c>
      <c r="K1156" s="1009"/>
    </row>
    <row r="1157" spans="1:12" ht="12.75" hidden="1" customHeight="1" x14ac:dyDescent="0.2">
      <c r="A1157" s="228"/>
      <c r="B1157" s="218" t="s">
        <v>1126</v>
      </c>
      <c r="C1157" s="221">
        <v>0.4</v>
      </c>
      <c r="D1157" s="280" t="s">
        <v>8</v>
      </c>
      <c r="E1157" s="221">
        <v>3600</v>
      </c>
      <c r="F1157" s="981">
        <f t="shared" si="24"/>
        <v>1440</v>
      </c>
      <c r="K1157" s="1009"/>
    </row>
    <row r="1158" spans="1:12" ht="12.75" hidden="1" customHeight="1" x14ac:dyDescent="0.2">
      <c r="A1158" s="228"/>
      <c r="B1158" s="218" t="s">
        <v>1127</v>
      </c>
      <c r="C1158" s="221">
        <v>3</v>
      </c>
      <c r="D1158" s="280" t="s">
        <v>8</v>
      </c>
      <c r="E1158" s="221">
        <v>5800</v>
      </c>
      <c r="F1158" s="981">
        <f t="shared" si="24"/>
        <v>17400</v>
      </c>
      <c r="K1158" s="1009"/>
    </row>
    <row r="1159" spans="1:12" ht="12.75" hidden="1" customHeight="1" x14ac:dyDescent="0.2">
      <c r="A1159" s="228"/>
      <c r="B1159" s="218" t="s">
        <v>1128</v>
      </c>
      <c r="C1159" s="221">
        <v>80</v>
      </c>
      <c r="D1159" s="280" t="s">
        <v>8</v>
      </c>
      <c r="E1159" s="1010">
        <v>165</v>
      </c>
      <c r="F1159" s="981">
        <f t="shared" si="24"/>
        <v>13200</v>
      </c>
      <c r="K1159" s="1009"/>
    </row>
    <row r="1160" spans="1:12" ht="12.75" hidden="1" customHeight="1" x14ac:dyDescent="0.2">
      <c r="A1160" s="228"/>
      <c r="B1160" s="218" t="s">
        <v>1129</v>
      </c>
      <c r="C1160" s="221">
        <v>42</v>
      </c>
      <c r="D1160" s="280" t="s">
        <v>325</v>
      </c>
      <c r="E1160" s="221">
        <v>90</v>
      </c>
      <c r="F1160" s="981">
        <f t="shared" si="24"/>
        <v>3780</v>
      </c>
      <c r="J1160" s="66"/>
      <c r="K1160" s="1011"/>
    </row>
    <row r="1161" spans="1:12" ht="12.75" hidden="1" customHeight="1" x14ac:dyDescent="0.2">
      <c r="A1161" s="228"/>
      <c r="B1161" s="1012" t="s">
        <v>1130</v>
      </c>
      <c r="C1161" s="913"/>
      <c r="D1161" s="914"/>
      <c r="E1161" s="1013" t="s">
        <v>1131</v>
      </c>
      <c r="F1161" s="1014">
        <f>SUM(F1153:F1160)</f>
        <v>79020</v>
      </c>
      <c r="H1161" s="66">
        <f>SUM(F1153,F1156:F1160)</f>
        <v>57420</v>
      </c>
      <c r="L1161" s="67"/>
    </row>
    <row r="1162" spans="1:12" ht="12.75" hidden="1" customHeight="1" x14ac:dyDescent="0.2">
      <c r="A1162" s="126"/>
      <c r="B1162" s="449" t="s">
        <v>1132</v>
      </c>
      <c r="C1162" s="140"/>
      <c r="D1162" s="250"/>
      <c r="E1162" s="140"/>
      <c r="F1162" s="647"/>
      <c r="I1162" s="66">
        <v>2.5</v>
      </c>
    </row>
    <row r="1163" spans="1:12" ht="12.75" hidden="1" customHeight="1" x14ac:dyDescent="0.2">
      <c r="A1163" s="126"/>
      <c r="B1163" s="198" t="s">
        <v>1133</v>
      </c>
      <c r="C1163" s="140">
        <v>5</v>
      </c>
      <c r="D1163" s="250" t="s">
        <v>343</v>
      </c>
      <c r="E1163" s="140">
        <v>2750.96</v>
      </c>
      <c r="F1163" s="981">
        <f t="shared" ref="F1163:F1167" si="25">ROUND(C1163*E1163,2)</f>
        <v>13754.8</v>
      </c>
      <c r="I1163" s="66">
        <f>I1162*25</f>
        <v>62.5</v>
      </c>
      <c r="J1163" s="67">
        <f>I1163/15</f>
        <v>4.166666666666667</v>
      </c>
    </row>
    <row r="1164" spans="1:12" ht="12.75" hidden="1" customHeight="1" x14ac:dyDescent="0.2">
      <c r="A1164" s="126"/>
      <c r="B1164" s="198" t="s">
        <v>1134</v>
      </c>
      <c r="C1164" s="140">
        <v>3</v>
      </c>
      <c r="D1164" s="250" t="s">
        <v>343</v>
      </c>
      <c r="E1164" s="140">
        <f>F1185</f>
        <v>1153.063355</v>
      </c>
      <c r="F1164" s="981">
        <f t="shared" si="25"/>
        <v>3459.19</v>
      </c>
      <c r="J1164" s="67">
        <f>64*5</f>
        <v>320</v>
      </c>
    </row>
    <row r="1165" spans="1:12" ht="12.75" hidden="1" customHeight="1" x14ac:dyDescent="0.2">
      <c r="A1165" s="126"/>
      <c r="B1165" s="198" t="s">
        <v>1135</v>
      </c>
      <c r="C1165" s="140">
        <v>3</v>
      </c>
      <c r="D1165" s="250" t="s">
        <v>343</v>
      </c>
      <c r="E1165" s="140">
        <f>F1191</f>
        <v>2339.65</v>
      </c>
      <c r="F1165" s="981">
        <f t="shared" si="25"/>
        <v>7018.95</v>
      </c>
      <c r="J1165" s="67">
        <f>J1164/60</f>
        <v>5.333333333333333</v>
      </c>
    </row>
    <row r="1166" spans="1:12" ht="12.75" hidden="1" customHeight="1" x14ac:dyDescent="0.2">
      <c r="A1166" s="126"/>
      <c r="B1166" s="198" t="s">
        <v>1136</v>
      </c>
      <c r="C1166" s="140">
        <v>3</v>
      </c>
      <c r="D1166" s="250" t="s">
        <v>343</v>
      </c>
      <c r="E1166" s="140">
        <v>500</v>
      </c>
      <c r="F1166" s="981">
        <f t="shared" si="25"/>
        <v>1500</v>
      </c>
    </row>
    <row r="1167" spans="1:12" ht="12.75" hidden="1" customHeight="1" x14ac:dyDescent="0.2">
      <c r="A1167" s="126"/>
      <c r="B1167" s="198" t="s">
        <v>1137</v>
      </c>
      <c r="C1167" s="140">
        <v>0.67</v>
      </c>
      <c r="D1167" s="250" t="s">
        <v>343</v>
      </c>
      <c r="E1167" s="140">
        <v>1300</v>
      </c>
      <c r="F1167" s="981">
        <f t="shared" si="25"/>
        <v>871</v>
      </c>
      <c r="J1167" s="67">
        <f>J1165/8</f>
        <v>0.66666666666666663</v>
      </c>
    </row>
    <row r="1168" spans="1:12" ht="12.75" hidden="1" customHeight="1" x14ac:dyDescent="0.2">
      <c r="A1168" s="126"/>
      <c r="B1168" s="1012" t="s">
        <v>1138</v>
      </c>
      <c r="C1168" s="1015"/>
      <c r="D1168" s="1016"/>
      <c r="E1168" s="1013" t="s">
        <v>770</v>
      </c>
      <c r="F1168" s="1017">
        <f>SUM(F1163:F1167)</f>
        <v>26603.94</v>
      </c>
    </row>
    <row r="1169" spans="1:8" ht="12.75" hidden="1" customHeight="1" x14ac:dyDescent="0.2">
      <c r="A1169" s="126"/>
      <c r="B1169" s="449" t="s">
        <v>528</v>
      </c>
      <c r="C1169" s="140"/>
      <c r="D1169" s="250"/>
      <c r="E1169" s="140"/>
      <c r="F1169" s="1018"/>
    </row>
    <row r="1170" spans="1:8" ht="12.75" hidden="1" customHeight="1" x14ac:dyDescent="0.2">
      <c r="A1170" s="126"/>
      <c r="B1170" s="198" t="s">
        <v>1139</v>
      </c>
      <c r="C1170" s="140">
        <v>5</v>
      </c>
      <c r="D1170" s="250" t="s">
        <v>343</v>
      </c>
      <c r="E1170" s="140">
        <v>1800</v>
      </c>
      <c r="F1170" s="981">
        <f t="shared" ref="F1170:F1174" si="26">ROUND(C1170*E1170,2)</f>
        <v>9000</v>
      </c>
    </row>
    <row r="1171" spans="1:8" ht="12.75" hidden="1" customHeight="1" x14ac:dyDescent="0.2">
      <c r="A1171" s="126"/>
      <c r="B1171" s="198" t="s">
        <v>1140</v>
      </c>
      <c r="C1171" s="140">
        <v>5</v>
      </c>
      <c r="D1171" s="250" t="s">
        <v>343</v>
      </c>
      <c r="E1171" s="140">
        <v>1568</v>
      </c>
      <c r="F1171" s="981">
        <f t="shared" si="26"/>
        <v>7840</v>
      </c>
    </row>
    <row r="1172" spans="1:8" ht="12.75" hidden="1" customHeight="1" x14ac:dyDescent="0.2">
      <c r="A1172" s="126"/>
      <c r="B1172" s="198" t="s">
        <v>1141</v>
      </c>
      <c r="C1172" s="140">
        <v>5</v>
      </c>
      <c r="D1172" s="250" t="s">
        <v>343</v>
      </c>
      <c r="E1172" s="140">
        <f>847*2</f>
        <v>1694</v>
      </c>
      <c r="F1172" s="981">
        <f t="shared" si="26"/>
        <v>8470</v>
      </c>
    </row>
    <row r="1173" spans="1:8" ht="12.75" hidden="1" customHeight="1" x14ac:dyDescent="0.2">
      <c r="A1173" s="414"/>
      <c r="B1173" s="957" t="s">
        <v>1142</v>
      </c>
      <c r="C1173" s="458">
        <v>15</v>
      </c>
      <c r="D1173" s="455" t="s">
        <v>124</v>
      </c>
      <c r="E1173" s="1019">
        <v>112.3</v>
      </c>
      <c r="F1173" s="981">
        <f t="shared" si="26"/>
        <v>1684.5</v>
      </c>
    </row>
    <row r="1174" spans="1:8" ht="12.75" hidden="1" customHeight="1" x14ac:dyDescent="0.2">
      <c r="A1174" s="414"/>
      <c r="B1174" s="957" t="s">
        <v>1143</v>
      </c>
      <c r="C1174" s="458">
        <v>15</v>
      </c>
      <c r="D1174" s="455" t="s">
        <v>124</v>
      </c>
      <c r="E1174" s="1019">
        <v>186.55</v>
      </c>
      <c r="F1174" s="981">
        <f t="shared" si="26"/>
        <v>2798.25</v>
      </c>
    </row>
    <row r="1175" spans="1:8" ht="12.75" hidden="1" customHeight="1" thickBot="1" x14ac:dyDescent="0.25">
      <c r="A1175" s="414"/>
      <c r="B1175" s="1020" t="s">
        <v>1144</v>
      </c>
      <c r="C1175" s="1021"/>
      <c r="D1175" s="1022"/>
      <c r="E1175" s="1023" t="s">
        <v>770</v>
      </c>
      <c r="F1175" s="1024">
        <f>SUM(F1170:F1174)</f>
        <v>29792.75</v>
      </c>
    </row>
    <row r="1176" spans="1:8" ht="12.75" hidden="1" customHeight="1" thickTop="1" x14ac:dyDescent="0.2">
      <c r="A1176" s="134"/>
      <c r="B1176" s="197"/>
      <c r="C1176" s="137"/>
      <c r="D1176" s="249"/>
      <c r="E1176" s="608" t="s">
        <v>1119</v>
      </c>
      <c r="F1176" s="1025">
        <f>SUM(F1161,F1168,F1175)</f>
        <v>135416.69</v>
      </c>
      <c r="H1176" s="66">
        <f>SUM(H1161,F1168,F1175)</f>
        <v>113816.69</v>
      </c>
    </row>
    <row r="1177" spans="1:8" ht="12.75" hidden="1" customHeight="1" thickBot="1" x14ac:dyDescent="0.25">
      <c r="A1177" s="142"/>
      <c r="B1177" s="421"/>
      <c r="C1177" s="146"/>
      <c r="D1177" s="188"/>
      <c r="E1177" s="606" t="s">
        <v>1145</v>
      </c>
      <c r="F1177" s="788">
        <f>ROUND(F1176/C1151,2)</f>
        <v>11930.99</v>
      </c>
      <c r="H1177" s="1026">
        <f>ROUND(H1176/C1151,2)</f>
        <v>10027.9</v>
      </c>
    </row>
    <row r="1178" spans="1:8" ht="12.75" hidden="1" customHeight="1" thickTop="1" x14ac:dyDescent="0.2">
      <c r="E1178" s="1027"/>
      <c r="F1178" s="637"/>
    </row>
    <row r="1179" spans="1:8" ht="12.75" hidden="1" customHeight="1" thickBot="1" x14ac:dyDescent="0.25">
      <c r="B1179" s="1028" t="s">
        <v>1146</v>
      </c>
      <c r="C1179" s="1029"/>
      <c r="D1179" s="1029"/>
      <c r="E1179" s="1029"/>
      <c r="F1179" s="1029"/>
    </row>
    <row r="1180" spans="1:8" ht="12.75" hidden="1" customHeight="1" thickTop="1" x14ac:dyDescent="0.2">
      <c r="A1180" s="134"/>
      <c r="B1180" s="1030" t="s">
        <v>1147</v>
      </c>
      <c r="C1180" s="1031">
        <v>1</v>
      </c>
      <c r="D1180" s="1032" t="s">
        <v>1148</v>
      </c>
      <c r="E1180" s="1033">
        <f>13695/75</f>
        <v>182.6</v>
      </c>
      <c r="F1180" s="1034">
        <f>C1180*E1180</f>
        <v>182.6</v>
      </c>
    </row>
    <row r="1181" spans="1:8" ht="12.75" hidden="1" customHeight="1" x14ac:dyDescent="0.2">
      <c r="A1181" s="126"/>
      <c r="B1181" s="1035" t="s">
        <v>1149</v>
      </c>
      <c r="C1181" s="1036">
        <v>2</v>
      </c>
      <c r="D1181" s="1037" t="s">
        <v>473</v>
      </c>
      <c r="E1181" s="1038">
        <v>197.7</v>
      </c>
      <c r="F1181" s="1039">
        <f>C1181*E1181</f>
        <v>395.4</v>
      </c>
    </row>
    <row r="1182" spans="1:8" ht="12.75" hidden="1" customHeight="1" x14ac:dyDescent="0.2">
      <c r="A1182" s="126"/>
      <c r="B1182" s="1035" t="s">
        <v>1150</v>
      </c>
      <c r="C1182" s="1040">
        <f>C1181*3.785*5%</f>
        <v>0.37850000000000006</v>
      </c>
      <c r="D1182" s="1037" t="s">
        <v>473</v>
      </c>
      <c r="E1182" s="1038">
        <v>872.03</v>
      </c>
      <c r="F1182" s="1039">
        <f>C1182*E1182</f>
        <v>330.06335500000006</v>
      </c>
    </row>
    <row r="1183" spans="1:8" ht="12.75" hidden="1" customHeight="1" x14ac:dyDescent="0.2">
      <c r="A1183" s="126"/>
      <c r="B1183" s="1041" t="s">
        <v>1151</v>
      </c>
      <c r="C1183" s="1042">
        <v>0.1</v>
      </c>
      <c r="D1183" s="1043" t="s">
        <v>263</v>
      </c>
      <c r="E1183" s="1044">
        <v>1450</v>
      </c>
      <c r="F1183" s="1045">
        <f>C1183*E1183</f>
        <v>145</v>
      </c>
    </row>
    <row r="1184" spans="1:8" ht="12.75" hidden="1" customHeight="1" x14ac:dyDescent="0.2">
      <c r="A1184" s="126"/>
      <c r="B1184" s="1041" t="s">
        <v>1152</v>
      </c>
      <c r="C1184" s="1042">
        <v>0.1</v>
      </c>
      <c r="D1184" s="1043" t="s">
        <v>263</v>
      </c>
      <c r="E1184" s="1044">
        <v>1000</v>
      </c>
      <c r="F1184" s="1045">
        <f>C1184*E1184</f>
        <v>100</v>
      </c>
    </row>
    <row r="1185" spans="1:6" ht="12.75" hidden="1" customHeight="1" thickBot="1" x14ac:dyDescent="0.25">
      <c r="A1185" s="142"/>
      <c r="B1185" s="1046"/>
      <c r="C1185" s="1046"/>
      <c r="D1185" s="1046"/>
      <c r="E1185" s="1047" t="s">
        <v>770</v>
      </c>
      <c r="F1185" s="1048">
        <f>SUM(F1180:F1184)</f>
        <v>1153.063355</v>
      </c>
    </row>
    <row r="1186" spans="1:6" ht="12.75" hidden="1" customHeight="1" thickTop="1" x14ac:dyDescent="0.2"/>
    <row r="1187" spans="1:6" ht="12.75" hidden="1" customHeight="1" thickBot="1" x14ac:dyDescent="0.3">
      <c r="B1187" s="1049" t="s">
        <v>1135</v>
      </c>
      <c r="C1187" s="1050"/>
      <c r="D1187" s="1050"/>
      <c r="E1187" s="1050"/>
      <c r="F1187" s="1050"/>
    </row>
    <row r="1188" spans="1:6" ht="12.75" hidden="1" customHeight="1" thickTop="1" x14ac:dyDescent="0.2">
      <c r="A1188" s="134"/>
      <c r="B1188" s="1051" t="s">
        <v>1153</v>
      </c>
      <c r="C1188" s="1052">
        <v>1</v>
      </c>
      <c r="D1188" s="1053" t="s">
        <v>343</v>
      </c>
      <c r="E1188" s="1052">
        <v>1390.69</v>
      </c>
      <c r="F1188" s="1054">
        <f>ROUND(C1188*E1188,2)</f>
        <v>1390.69</v>
      </c>
    </row>
    <row r="1189" spans="1:6" ht="12.75" hidden="1" customHeight="1" x14ac:dyDescent="0.2">
      <c r="A1189" s="126"/>
      <c r="B1189" s="1055" t="s">
        <v>1154</v>
      </c>
      <c r="C1189" s="1056">
        <v>4</v>
      </c>
      <c r="D1189" s="1057" t="s">
        <v>1155</v>
      </c>
      <c r="E1189" s="1056">
        <v>197.7</v>
      </c>
      <c r="F1189" s="1058">
        <f>ROUND(C1189*E1189,2)</f>
        <v>790.8</v>
      </c>
    </row>
    <row r="1190" spans="1:6" ht="12.75" hidden="1" customHeight="1" x14ac:dyDescent="0.2">
      <c r="A1190" s="126"/>
      <c r="B1190" s="1059" t="s">
        <v>926</v>
      </c>
      <c r="C1190" s="1056">
        <v>20</v>
      </c>
      <c r="D1190" s="1057" t="s">
        <v>234</v>
      </c>
      <c r="E1190" s="1056">
        <f>F1189</f>
        <v>790.8</v>
      </c>
      <c r="F1190" s="1058">
        <f>ROUND(C1190*E1190,2)/100</f>
        <v>158.16</v>
      </c>
    </row>
    <row r="1191" spans="1:6" ht="12.75" hidden="1" customHeight="1" x14ac:dyDescent="0.2">
      <c r="A1191" s="126"/>
      <c r="B1191" s="1059"/>
      <c r="C1191" s="1056"/>
      <c r="D1191" s="1057"/>
      <c r="E1191" s="1060" t="s">
        <v>1156</v>
      </c>
      <c r="F1191" s="1061">
        <f>ROUND(SUM(F1188:F1190),20)</f>
        <v>2339.65</v>
      </c>
    </row>
    <row r="1192" spans="1:6" ht="12.75" hidden="1" customHeight="1" thickBot="1" x14ac:dyDescent="0.25">
      <c r="A1192" s="142"/>
      <c r="B1192" s="1062"/>
      <c r="C1192" s="1062"/>
      <c r="D1192" s="1062"/>
      <c r="E1192" s="1063" t="s">
        <v>1157</v>
      </c>
      <c r="F1192" s="1064">
        <f>ROUND(F1191/8,2)</f>
        <v>292.45999999999998</v>
      </c>
    </row>
    <row r="1193" spans="1:6" ht="12.75" hidden="1" customHeight="1" thickTop="1" thickBot="1" x14ac:dyDescent="0.25"/>
    <row r="1194" spans="1:6" ht="12.75" hidden="1" customHeight="1" thickTop="1" thickBot="1" x14ac:dyDescent="0.25">
      <c r="A1194" s="851"/>
      <c r="B1194" s="851" t="s">
        <v>1158</v>
      </c>
      <c r="C1194" s="854">
        <v>1</v>
      </c>
      <c r="D1194" s="853" t="s">
        <v>41</v>
      </c>
      <c r="E1194" s="854">
        <f>F1177</f>
        <v>11930.99</v>
      </c>
      <c r="F1194" s="1065">
        <f>ROUND(C1194*E1194,2)</f>
        <v>11930.99</v>
      </c>
    </row>
    <row r="1195" spans="1:6" ht="12.75" hidden="1" customHeight="1" thickTop="1" thickBot="1" x14ac:dyDescent="0.25">
      <c r="A1195" s="851"/>
      <c r="B1195" s="851" t="s">
        <v>1159</v>
      </c>
      <c r="C1195" s="854">
        <v>1</v>
      </c>
      <c r="D1195" s="853" t="s">
        <v>41</v>
      </c>
      <c r="E1195" s="854">
        <f>H1177</f>
        <v>10027.9</v>
      </c>
      <c r="F1195" s="1066">
        <f>ROUND(C1195*E1195,2)</f>
        <v>10027.9</v>
      </c>
    </row>
    <row r="1196" spans="1:6" ht="12.75" hidden="1" customHeight="1" thickTop="1" x14ac:dyDescent="0.2"/>
    <row r="1197" spans="1:6" ht="11.85" hidden="1" customHeight="1" x14ac:dyDescent="0.2"/>
    <row r="1198" spans="1:6" ht="12.75" hidden="1" customHeight="1" thickBot="1" x14ac:dyDescent="0.25">
      <c r="B1198" s="196" t="s">
        <v>1160</v>
      </c>
      <c r="C1198" s="177">
        <v>8.92</v>
      </c>
    </row>
    <row r="1199" spans="1:6" ht="12.75" hidden="1" customHeight="1" thickTop="1" x14ac:dyDescent="0.2">
      <c r="A1199" s="134"/>
      <c r="B1199" s="1067" t="s">
        <v>1161</v>
      </c>
      <c r="C1199" s="659">
        <v>6</v>
      </c>
      <c r="D1199" s="660" t="s">
        <v>8</v>
      </c>
      <c r="E1199" s="659">
        <v>643</v>
      </c>
      <c r="F1199" s="1068">
        <f>ROUND(C1199*E1199,2)</f>
        <v>3858</v>
      </c>
    </row>
    <row r="1200" spans="1:6" ht="12.75" hidden="1" customHeight="1" x14ac:dyDescent="0.2">
      <c r="A1200" s="126"/>
      <c r="B1200" s="1069" t="s">
        <v>1162</v>
      </c>
      <c r="C1200" s="663">
        <v>4</v>
      </c>
      <c r="D1200" s="664" t="s">
        <v>8</v>
      </c>
      <c r="E1200" s="663">
        <v>31.95</v>
      </c>
      <c r="F1200" s="1070">
        <f t="shared" ref="F1200:F1208" si="27">ROUND(C1200*E1200,2)</f>
        <v>127.8</v>
      </c>
    </row>
    <row r="1201" spans="1:6" ht="12.75" hidden="1" customHeight="1" x14ac:dyDescent="0.2">
      <c r="A1201" s="126"/>
      <c r="B1201" s="1069" t="s">
        <v>1163</v>
      </c>
      <c r="C1201" s="663">
        <v>9</v>
      </c>
      <c r="D1201" s="664" t="s">
        <v>8</v>
      </c>
      <c r="E1201" s="666">
        <v>43.93</v>
      </c>
      <c r="F1201" s="1070">
        <f t="shared" si="27"/>
        <v>395.37</v>
      </c>
    </row>
    <row r="1202" spans="1:6" ht="12.75" hidden="1" customHeight="1" x14ac:dyDescent="0.2">
      <c r="A1202" s="126"/>
      <c r="B1202" s="1069" t="s">
        <v>1164</v>
      </c>
      <c r="C1202" s="663">
        <v>9</v>
      </c>
      <c r="D1202" s="667" t="s">
        <v>8</v>
      </c>
      <c r="E1202" s="663">
        <v>43.93</v>
      </c>
      <c r="F1202" s="1070">
        <f t="shared" si="27"/>
        <v>395.37</v>
      </c>
    </row>
    <row r="1203" spans="1:6" ht="12.75" hidden="1" customHeight="1" x14ac:dyDescent="0.2">
      <c r="A1203" s="126"/>
      <c r="B1203" s="1069" t="s">
        <v>1165</v>
      </c>
      <c r="C1203" s="663">
        <v>11</v>
      </c>
      <c r="D1203" s="664" t="s">
        <v>8</v>
      </c>
      <c r="E1203" s="663">
        <v>120</v>
      </c>
      <c r="F1203" s="1070">
        <f t="shared" si="27"/>
        <v>1320</v>
      </c>
    </row>
    <row r="1204" spans="1:6" ht="12.75" hidden="1" customHeight="1" x14ac:dyDescent="0.2">
      <c r="A1204" s="126"/>
      <c r="B1204" s="1069" t="s">
        <v>1166</v>
      </c>
      <c r="C1204" s="663">
        <v>44</v>
      </c>
      <c r="D1204" s="664" t="s">
        <v>8</v>
      </c>
      <c r="E1204" s="663">
        <f>F1218</f>
        <v>44.529545454545456</v>
      </c>
      <c r="F1204" s="1070">
        <f t="shared" si="27"/>
        <v>1959.3</v>
      </c>
    </row>
    <row r="1205" spans="1:6" ht="12.75" hidden="1" customHeight="1" x14ac:dyDescent="0.2">
      <c r="A1205" s="126"/>
      <c r="B1205" s="218" t="s">
        <v>1128</v>
      </c>
      <c r="C1205" s="663">
        <v>55</v>
      </c>
      <c r="D1205" s="664" t="s">
        <v>8</v>
      </c>
      <c r="E1205" s="1071">
        <v>165</v>
      </c>
      <c r="F1205" s="1070">
        <f t="shared" si="27"/>
        <v>9075</v>
      </c>
    </row>
    <row r="1206" spans="1:6" ht="12.75" hidden="1" customHeight="1" x14ac:dyDescent="0.2">
      <c r="A1206" s="126"/>
      <c r="B1206" s="1069" t="s">
        <v>833</v>
      </c>
      <c r="C1206" s="663">
        <v>1.96</v>
      </c>
      <c r="D1206" s="664" t="s">
        <v>124</v>
      </c>
      <c r="E1206" s="663">
        <v>112.3</v>
      </c>
      <c r="F1206" s="1070">
        <f t="shared" si="27"/>
        <v>220.11</v>
      </c>
    </row>
    <row r="1207" spans="1:6" ht="12.75" hidden="1" customHeight="1" x14ac:dyDescent="0.2">
      <c r="A1207" s="126"/>
      <c r="B1207" s="1069" t="s">
        <v>834</v>
      </c>
      <c r="C1207" s="663">
        <v>1.96</v>
      </c>
      <c r="D1207" s="664" t="s">
        <v>124</v>
      </c>
      <c r="E1207" s="666">
        <v>186.55</v>
      </c>
      <c r="F1207" s="1070">
        <f t="shared" si="27"/>
        <v>365.64</v>
      </c>
    </row>
    <row r="1208" spans="1:6" ht="12.75" hidden="1" customHeight="1" x14ac:dyDescent="0.2">
      <c r="A1208" s="126"/>
      <c r="B1208" s="1069" t="s">
        <v>1167</v>
      </c>
      <c r="C1208" s="663">
        <v>1</v>
      </c>
      <c r="D1208" s="667" t="s">
        <v>8</v>
      </c>
      <c r="E1208" s="663">
        <v>3500</v>
      </c>
      <c r="F1208" s="1070">
        <f t="shared" si="27"/>
        <v>3500</v>
      </c>
    </row>
    <row r="1209" spans="1:6" ht="12.75" hidden="1" customHeight="1" x14ac:dyDescent="0.2">
      <c r="A1209" s="126"/>
      <c r="B1209" s="1069"/>
      <c r="C1209" s="1072"/>
      <c r="D1209" s="664"/>
      <c r="E1209" s="1073" t="s">
        <v>836</v>
      </c>
      <c r="F1209" s="1074">
        <f>ROUND(SUM(F1199:F1208),2)</f>
        <v>21216.59</v>
      </c>
    </row>
    <row r="1210" spans="1:6" ht="12.75" hidden="1" customHeight="1" thickBot="1" x14ac:dyDescent="0.25">
      <c r="A1210" s="142"/>
      <c r="B1210" s="1075"/>
      <c r="C1210" s="1076"/>
      <c r="D1210" s="1077"/>
      <c r="E1210" s="1078" t="s">
        <v>837</v>
      </c>
      <c r="F1210" s="679">
        <f>ROUND(F1209/C1198,2)</f>
        <v>2378.54</v>
      </c>
    </row>
    <row r="1212" spans="1:6" ht="12.75" customHeight="1" thickBot="1" x14ac:dyDescent="0.25">
      <c r="B1212" s="196" t="s">
        <v>1168</v>
      </c>
    </row>
    <row r="1213" spans="1:6" ht="12.75" customHeight="1" thickTop="1" x14ac:dyDescent="0.2">
      <c r="A1213" s="276"/>
      <c r="B1213" s="213" t="s">
        <v>1135</v>
      </c>
      <c r="C1213" s="216">
        <f>3.06/8</f>
        <v>0.38250000000000001</v>
      </c>
      <c r="D1213" s="277"/>
      <c r="E1213" s="216">
        <f>F1191</f>
        <v>2339.65</v>
      </c>
      <c r="F1213" s="1079">
        <f t="shared" ref="F1213:F1216" si="28">ROUND(C1213*E1213,2)</f>
        <v>894.92</v>
      </c>
    </row>
    <row r="1214" spans="1:6" ht="12.75" customHeight="1" x14ac:dyDescent="0.2">
      <c r="A1214" s="228"/>
      <c r="B1214" s="218" t="s">
        <v>1137</v>
      </c>
      <c r="C1214" s="221">
        <v>0.38</v>
      </c>
      <c r="D1214" s="280"/>
      <c r="E1214" s="221">
        <f>E1167</f>
        <v>1300</v>
      </c>
      <c r="F1214" s="1080">
        <f t="shared" si="28"/>
        <v>494</v>
      </c>
    </row>
    <row r="1215" spans="1:6" ht="12.75" customHeight="1" x14ac:dyDescent="0.2">
      <c r="A1215" s="228"/>
      <c r="B1215" s="218" t="s">
        <v>930</v>
      </c>
      <c r="C1215" s="221">
        <v>0.38</v>
      </c>
      <c r="D1215" s="280"/>
      <c r="E1215" s="221">
        <v>842</v>
      </c>
      <c r="F1215" s="1080">
        <f t="shared" si="28"/>
        <v>319.95999999999998</v>
      </c>
    </row>
    <row r="1216" spans="1:6" ht="12.75" customHeight="1" x14ac:dyDescent="0.2">
      <c r="A1216" s="228"/>
      <c r="B1216" s="218" t="s">
        <v>1169</v>
      </c>
      <c r="C1216" s="221">
        <v>0.38</v>
      </c>
      <c r="D1216" s="1081"/>
      <c r="E1216" s="221">
        <v>659</v>
      </c>
      <c r="F1216" s="1080">
        <f t="shared" si="28"/>
        <v>250.42</v>
      </c>
    </row>
    <row r="1217" spans="1:6" ht="12.75" customHeight="1" x14ac:dyDescent="0.2">
      <c r="A1217" s="228"/>
      <c r="B1217" s="218"/>
      <c r="C1217" s="221"/>
      <c r="D1217" s="280"/>
      <c r="E1217" s="611" t="s">
        <v>1131</v>
      </c>
      <c r="F1217" s="1082">
        <f>SUM(F1213:F1216)</f>
        <v>1959.3000000000002</v>
      </c>
    </row>
    <row r="1218" spans="1:6" ht="12.75" customHeight="1" thickBot="1" x14ac:dyDescent="0.25">
      <c r="A1218" s="232"/>
      <c r="B1218" s="233"/>
      <c r="C1218" s="284"/>
      <c r="D1218" s="285"/>
      <c r="E1218" s="606" t="s">
        <v>1170</v>
      </c>
      <c r="F1218" s="1083">
        <f>F1217/44</f>
        <v>44.529545454545456</v>
      </c>
    </row>
    <row r="1219" spans="1:6" ht="11.85" customHeight="1" thickTop="1" x14ac:dyDescent="0.2"/>
    <row r="1220" spans="1:6" ht="12.75" customHeight="1" thickBot="1" x14ac:dyDescent="0.25">
      <c r="B1220" s="196" t="s">
        <v>1171</v>
      </c>
    </row>
    <row r="1221" spans="1:6" ht="12.75" customHeight="1" thickTop="1" x14ac:dyDescent="0.2">
      <c r="A1221" s="134"/>
      <c r="B1221" s="197" t="s">
        <v>1172</v>
      </c>
      <c r="C1221" s="137">
        <v>0.5</v>
      </c>
      <c r="D1221" s="249" t="s">
        <v>343</v>
      </c>
      <c r="E1221" s="137">
        <f>F1185</f>
        <v>1153.063355</v>
      </c>
      <c r="F1221" s="1079">
        <f t="shared" ref="F1221:F1222" si="29">ROUND(C1221*E1221,2)</f>
        <v>576.53</v>
      </c>
    </row>
    <row r="1222" spans="1:6" ht="12.75" customHeight="1" x14ac:dyDescent="0.2">
      <c r="A1222" s="126"/>
      <c r="B1222" s="198" t="s">
        <v>1173</v>
      </c>
      <c r="C1222" s="140">
        <v>1</v>
      </c>
      <c r="D1222" s="250" t="s">
        <v>343</v>
      </c>
      <c r="E1222" s="140">
        <f>E1163</f>
        <v>2750.96</v>
      </c>
      <c r="F1222" s="1080">
        <f t="shared" si="29"/>
        <v>2750.96</v>
      </c>
    </row>
    <row r="1223" spans="1:6" ht="12.75" customHeight="1" thickBot="1" x14ac:dyDescent="0.25">
      <c r="A1223" s="142"/>
      <c r="B1223" s="421"/>
      <c r="C1223" s="146"/>
      <c r="D1223" s="188"/>
      <c r="E1223" s="236" t="s">
        <v>770</v>
      </c>
      <c r="F1223" s="153">
        <f>SUM(F1221:F1222)</f>
        <v>3327.49</v>
      </c>
    </row>
    <row r="1224" spans="1:6" ht="12.75" customHeight="1" thickTop="1" x14ac:dyDescent="0.2"/>
    <row r="1225" spans="1:6" ht="12.75" customHeight="1" thickBot="1" x14ac:dyDescent="0.25">
      <c r="C1225" s="177">
        <v>951.03</v>
      </c>
      <c r="D1225" s="69" t="s">
        <v>88</v>
      </c>
    </row>
    <row r="1226" spans="1:6" ht="12.75" customHeight="1" thickTop="1" x14ac:dyDescent="0.2">
      <c r="A1226" s="134"/>
      <c r="B1226" s="197" t="s">
        <v>1174</v>
      </c>
      <c r="C1226" s="137">
        <f>C1225*1.2</f>
        <v>1141.2359999999999</v>
      </c>
      <c r="D1226" s="249" t="s">
        <v>88</v>
      </c>
      <c r="E1226" s="137">
        <v>450</v>
      </c>
      <c r="F1226" s="1079">
        <f t="shared" ref="F1226:F1228" si="30">ROUND(C1226*E1226,2)</f>
        <v>513556.2</v>
      </c>
    </row>
    <row r="1227" spans="1:6" ht="12.75" customHeight="1" x14ac:dyDescent="0.2">
      <c r="A1227" s="126"/>
      <c r="B1227" s="198" t="s">
        <v>1175</v>
      </c>
      <c r="C1227" s="140">
        <f>C1226*0.95</f>
        <v>1084.1741999999999</v>
      </c>
      <c r="D1227" s="250" t="s">
        <v>88</v>
      </c>
      <c r="E1227" s="140">
        <v>42.82</v>
      </c>
      <c r="F1227" s="1080">
        <f t="shared" si="30"/>
        <v>46424.34</v>
      </c>
    </row>
    <row r="1228" spans="1:6" ht="12.75" customHeight="1" x14ac:dyDescent="0.2">
      <c r="A1228" s="126"/>
      <c r="B1228" s="198" t="s">
        <v>1176</v>
      </c>
      <c r="C1228" s="140">
        <f>C1226</f>
        <v>1141.2359999999999</v>
      </c>
      <c r="D1228" s="250" t="s">
        <v>88</v>
      </c>
      <c r="E1228" s="140">
        <v>35.4</v>
      </c>
      <c r="F1228" s="1080">
        <f t="shared" si="30"/>
        <v>40399.75</v>
      </c>
    </row>
    <row r="1229" spans="1:6" ht="12.75" customHeight="1" thickBot="1" x14ac:dyDescent="0.25">
      <c r="A1229" s="142"/>
      <c r="B1229" s="421"/>
      <c r="C1229" s="146"/>
      <c r="D1229" s="188"/>
      <c r="E1229" s="146"/>
      <c r="F1229" s="153">
        <f>SUM(F1226:F1228)</f>
        <v>600380.29</v>
      </c>
    </row>
    <row r="1230" spans="1:6" ht="12.75" customHeight="1" thickTop="1" x14ac:dyDescent="0.2">
      <c r="A1230" s="205"/>
      <c r="B1230" s="205"/>
      <c r="C1230" s="904"/>
      <c r="D1230" s="905"/>
      <c r="E1230" s="904"/>
      <c r="F1230" s="904"/>
    </row>
    <row r="1231" spans="1:6" ht="12.75" customHeight="1" thickBot="1" x14ac:dyDescent="0.25">
      <c r="A1231" s="205"/>
      <c r="B1231" s="211" t="s">
        <v>1174</v>
      </c>
      <c r="C1231" s="208"/>
      <c r="D1231" s="274"/>
      <c r="E1231" s="208"/>
      <c r="F1231" s="208"/>
    </row>
    <row r="1232" spans="1:6" ht="12.75" customHeight="1" thickTop="1" x14ac:dyDescent="0.2">
      <c r="A1232" s="276"/>
      <c r="B1232" s="213" t="s">
        <v>1177</v>
      </c>
      <c r="C1232" s="216">
        <v>1</v>
      </c>
      <c r="D1232" s="277" t="s">
        <v>88</v>
      </c>
      <c r="E1232" s="216">
        <v>300</v>
      </c>
      <c r="F1232" s="1079">
        <f t="shared" ref="F1232:F1233" si="31">ROUND(C1232*E1232,2)</f>
        <v>300</v>
      </c>
    </row>
    <row r="1233" spans="1:6" ht="12.75" customHeight="1" x14ac:dyDescent="0.2">
      <c r="A1233" s="228"/>
      <c r="B1233" s="218" t="s">
        <v>375</v>
      </c>
      <c r="C1233" s="221">
        <v>15</v>
      </c>
      <c r="D1233" s="280" t="s">
        <v>354</v>
      </c>
      <c r="E1233" s="221">
        <v>20.73</v>
      </c>
      <c r="F1233" s="1080">
        <f t="shared" si="31"/>
        <v>310.95</v>
      </c>
    </row>
    <row r="1234" spans="1:6" ht="12.75" customHeight="1" thickBot="1" x14ac:dyDescent="0.25">
      <c r="A1234" s="232"/>
      <c r="B1234" s="233"/>
      <c r="C1234" s="284"/>
      <c r="D1234" s="285"/>
      <c r="E1234" s="606" t="s">
        <v>772</v>
      </c>
      <c r="F1234" s="1084">
        <f>ROUND(SUM(F1232:F1233),2)</f>
        <v>610.95000000000005</v>
      </c>
    </row>
    <row r="1235" spans="1:6" ht="12.75" customHeight="1" thickTop="1" x14ac:dyDescent="0.2">
      <c r="A1235" s="205"/>
      <c r="B1235" s="205"/>
      <c r="C1235" s="904"/>
      <c r="D1235" s="905"/>
      <c r="E1235" s="904"/>
      <c r="F1235" s="904"/>
    </row>
    <row r="1236" spans="1:6" ht="11.85" customHeight="1" x14ac:dyDescent="0.2">
      <c r="A1236" s="205"/>
      <c r="B1236" s="205"/>
      <c r="C1236" s="904"/>
      <c r="D1236" s="905"/>
      <c r="E1236" s="904"/>
      <c r="F1236" s="904"/>
    </row>
    <row r="1237" spans="1:6" ht="12.75" customHeight="1" thickBot="1" x14ac:dyDescent="0.25">
      <c r="B1237" s="731" t="s">
        <v>890</v>
      </c>
      <c r="C1237" s="732">
        <v>128</v>
      </c>
      <c r="D1237" s="261" t="s">
        <v>867</v>
      </c>
      <c r="E1237" s="734"/>
      <c r="F1237" s="729"/>
    </row>
    <row r="1238" spans="1:6" ht="12.75" customHeight="1" thickTop="1" x14ac:dyDescent="0.2">
      <c r="A1238" s="134"/>
      <c r="B1238" s="735" t="s">
        <v>868</v>
      </c>
      <c r="C1238" s="736">
        <v>1</v>
      </c>
      <c r="D1238" s="249" t="s">
        <v>374</v>
      </c>
      <c r="E1238" s="736">
        <v>3600.39</v>
      </c>
      <c r="F1238" s="334">
        <f>ROUND(C1238*E1238,2)</f>
        <v>3600.39</v>
      </c>
    </row>
    <row r="1239" spans="1:6" ht="12.75" customHeight="1" x14ac:dyDescent="0.2">
      <c r="A1239" s="126"/>
      <c r="B1239" s="737" t="s">
        <v>869</v>
      </c>
      <c r="C1239" s="427">
        <v>5.12</v>
      </c>
      <c r="D1239" s="250" t="s">
        <v>870</v>
      </c>
      <c r="E1239" s="427">
        <f>F568*F571</f>
        <v>2165605.64</v>
      </c>
      <c r="F1239" s="335">
        <f>ROUND(C1239*E1239,2)</f>
        <v>11087900.880000001</v>
      </c>
    </row>
    <row r="1240" spans="1:6" ht="12.75" customHeight="1" x14ac:dyDescent="0.2">
      <c r="A1240" s="126"/>
      <c r="B1240" s="737" t="s">
        <v>871</v>
      </c>
      <c r="C1240" s="427">
        <v>20</v>
      </c>
      <c r="D1240" s="250" t="s">
        <v>234</v>
      </c>
      <c r="E1240" s="427">
        <f>F1239</f>
        <v>11087900.880000001</v>
      </c>
      <c r="F1240" s="335">
        <f>ROUND(C1240*E1240,2)/100</f>
        <v>2217580.176</v>
      </c>
    </row>
    <row r="1241" spans="1:6" ht="12.75" customHeight="1" x14ac:dyDescent="0.2">
      <c r="A1241" s="126"/>
      <c r="B1241" s="737" t="s">
        <v>891</v>
      </c>
      <c r="C1241" s="427">
        <v>1</v>
      </c>
      <c r="D1241" s="250" t="s">
        <v>8</v>
      </c>
      <c r="E1241" s="427">
        <v>150</v>
      </c>
      <c r="F1241" s="335">
        <f>ROUND(C1241*E1241,2)</f>
        <v>150</v>
      </c>
    </row>
    <row r="1242" spans="1:6" ht="12.75" customHeight="1" x14ac:dyDescent="0.2">
      <c r="A1242" s="126"/>
      <c r="B1242" s="737" t="s">
        <v>892</v>
      </c>
      <c r="C1242" s="427">
        <v>1</v>
      </c>
      <c r="D1242" s="250" t="s">
        <v>374</v>
      </c>
      <c r="E1242" s="427">
        <v>162.5</v>
      </c>
      <c r="F1242" s="335">
        <f>ROUND(C1242*E1242,2)</f>
        <v>162.5</v>
      </c>
    </row>
    <row r="1243" spans="1:6" ht="12.75" customHeight="1" thickBot="1" x14ac:dyDescent="0.25">
      <c r="A1243" s="142"/>
      <c r="B1243" s="739"/>
      <c r="C1243" s="740"/>
      <c r="D1243" s="739"/>
      <c r="E1243" s="741" t="s">
        <v>872</v>
      </c>
      <c r="F1243" s="742">
        <f>SUM(F1238:F1242)</f>
        <v>13309393.946000002</v>
      </c>
    </row>
    <row r="1244" spans="1:6" ht="11.85" customHeight="1" thickTop="1" x14ac:dyDescent="0.2"/>
    <row r="1246" spans="1:6" ht="12.75" customHeight="1" x14ac:dyDescent="0.2"/>
    <row r="1247" spans="1:6" ht="12.75" customHeight="1" thickBot="1" x14ac:dyDescent="0.25">
      <c r="A1247" s="205"/>
      <c r="B1247" s="211" t="s">
        <v>1178</v>
      </c>
      <c r="C1247" s="904"/>
      <c r="D1247" s="905"/>
      <c r="E1247" s="904"/>
      <c r="F1247" s="904"/>
    </row>
    <row r="1248" spans="1:6" ht="12.75" customHeight="1" thickTop="1" x14ac:dyDescent="0.2">
      <c r="A1248" s="276"/>
      <c r="B1248" s="213" t="s">
        <v>1179</v>
      </c>
      <c r="C1248" s="216">
        <v>3</v>
      </c>
      <c r="D1248" s="277" t="s">
        <v>8</v>
      </c>
      <c r="E1248" s="241">
        <v>80000</v>
      </c>
      <c r="F1248" s="1085">
        <f>ROUND(C1248*E1248,2)</f>
        <v>240000</v>
      </c>
    </row>
    <row r="1249" spans="1:10" ht="12.75" customHeight="1" x14ac:dyDescent="0.2">
      <c r="A1249" s="228"/>
      <c r="B1249" s="218" t="s">
        <v>1180</v>
      </c>
      <c r="C1249" s="1086">
        <v>4.4999999999999998E-2</v>
      </c>
      <c r="D1249" s="280" t="s">
        <v>234</v>
      </c>
      <c r="E1249" s="245">
        <v>330335.65999999997</v>
      </c>
      <c r="F1249" s="1087">
        <f>ROUND(C1249*E1249,2)</f>
        <v>14865.1</v>
      </c>
    </row>
    <row r="1250" spans="1:10" ht="12.75" customHeight="1" x14ac:dyDescent="0.2">
      <c r="A1250" s="228"/>
      <c r="B1250" s="218" t="s">
        <v>1181</v>
      </c>
      <c r="C1250" s="221"/>
      <c r="D1250" s="280"/>
      <c r="E1250" s="245"/>
      <c r="F1250" s="1088">
        <f>ROUND(F1248-F1249,2)</f>
        <v>225134.9</v>
      </c>
      <c r="I1250" s="66">
        <f>[30]PRES.!J120</f>
        <v>336784.47</v>
      </c>
    </row>
    <row r="1251" spans="1:10" ht="12.75" customHeight="1" thickBot="1" x14ac:dyDescent="0.25">
      <c r="A1251" s="142"/>
      <c r="B1251" s="421"/>
      <c r="C1251" s="146">
        <v>3</v>
      </c>
      <c r="D1251" s="188" t="s">
        <v>8</v>
      </c>
      <c r="E1251" s="606" t="s">
        <v>1119</v>
      </c>
      <c r="F1251" s="153">
        <f>ROUND(F1250/C1251,2)</f>
        <v>75044.97</v>
      </c>
    </row>
    <row r="1252" spans="1:10" ht="12.75" customHeight="1" thickTop="1" x14ac:dyDescent="0.2"/>
    <row r="1253" spans="1:10" ht="12.75" customHeight="1" thickBot="1" x14ac:dyDescent="0.25">
      <c r="B1253" s="196" t="s">
        <v>1182</v>
      </c>
    </row>
    <row r="1254" spans="1:10" ht="12.75" customHeight="1" thickTop="1" x14ac:dyDescent="0.2">
      <c r="A1254" s="134"/>
      <c r="B1254" s="1089" t="s">
        <v>1183</v>
      </c>
      <c r="C1254" s="137">
        <v>89</v>
      </c>
      <c r="D1254" s="249" t="s">
        <v>41</v>
      </c>
      <c r="E1254" s="137">
        <v>580.36</v>
      </c>
      <c r="F1254" s="1085">
        <f t="shared" ref="F1254:F1260" si="32">ROUND(C1254*E1254,2)</f>
        <v>51652.04</v>
      </c>
    </row>
    <row r="1255" spans="1:10" ht="12.75" customHeight="1" x14ac:dyDescent="0.2">
      <c r="A1255" s="126"/>
      <c r="B1255" s="1090" t="s">
        <v>1184</v>
      </c>
      <c r="C1255" s="1091">
        <v>2</v>
      </c>
      <c r="D1255" s="250" t="s">
        <v>8</v>
      </c>
      <c r="E1255" s="140">
        <v>3370.23</v>
      </c>
      <c r="F1255" s="1087">
        <f t="shared" si="32"/>
        <v>6740.46</v>
      </c>
    </row>
    <row r="1256" spans="1:10" ht="12.75" customHeight="1" x14ac:dyDescent="0.2">
      <c r="A1256" s="126"/>
      <c r="B1256" s="1090" t="s">
        <v>1185</v>
      </c>
      <c r="C1256" s="1091">
        <v>2</v>
      </c>
      <c r="D1256" s="250" t="s">
        <v>8</v>
      </c>
      <c r="E1256" s="140">
        <v>3370.23</v>
      </c>
      <c r="F1256" s="1087">
        <f t="shared" si="32"/>
        <v>6740.46</v>
      </c>
    </row>
    <row r="1257" spans="1:10" ht="12.75" customHeight="1" x14ac:dyDescent="0.2">
      <c r="A1257" s="126"/>
      <c r="B1257" s="1090" t="s">
        <v>1186</v>
      </c>
      <c r="C1257" s="1091">
        <v>5</v>
      </c>
      <c r="D1257" s="250" t="s">
        <v>8</v>
      </c>
      <c r="E1257" s="140">
        <v>580.32000000000005</v>
      </c>
      <c r="F1257" s="1087">
        <f t="shared" si="32"/>
        <v>2901.6</v>
      </c>
      <c r="I1257" s="66">
        <f>580.36/3.28</f>
        <v>176.93902439024393</v>
      </c>
      <c r="J1257" s="67">
        <f>I1257*3</f>
        <v>530.81707317073176</v>
      </c>
    </row>
    <row r="1258" spans="1:10" ht="12.75" customHeight="1" x14ac:dyDescent="0.2">
      <c r="A1258" s="126"/>
      <c r="B1258" s="1090" t="s">
        <v>1187</v>
      </c>
      <c r="C1258" s="1092">
        <v>10</v>
      </c>
      <c r="D1258" s="250" t="s">
        <v>8</v>
      </c>
      <c r="E1258" s="140">
        <v>3370.23</v>
      </c>
      <c r="F1258" s="1087">
        <f t="shared" si="32"/>
        <v>33702.300000000003</v>
      </c>
    </row>
    <row r="1259" spans="1:10" ht="12.75" customHeight="1" x14ac:dyDescent="0.2">
      <c r="A1259" s="126"/>
      <c r="B1259" s="1090" t="s">
        <v>1188</v>
      </c>
      <c r="C1259" s="1092">
        <v>2</v>
      </c>
      <c r="D1259" s="250" t="s">
        <v>8</v>
      </c>
      <c r="E1259" s="140">
        <v>3370.23</v>
      </c>
      <c r="F1259" s="1087">
        <f t="shared" si="32"/>
        <v>6740.46</v>
      </c>
    </row>
    <row r="1260" spans="1:10" ht="12.75" customHeight="1" x14ac:dyDescent="0.2">
      <c r="A1260" s="126"/>
      <c r="B1260" s="1090" t="s">
        <v>1189</v>
      </c>
      <c r="C1260" s="1092">
        <v>4</v>
      </c>
      <c r="D1260" s="250" t="s">
        <v>8</v>
      </c>
      <c r="E1260" s="140">
        <v>2140</v>
      </c>
      <c r="F1260" s="1087">
        <f t="shared" si="32"/>
        <v>8560</v>
      </c>
    </row>
    <row r="1261" spans="1:10" ht="12.75" customHeight="1" thickBot="1" x14ac:dyDescent="0.25">
      <c r="A1261" s="142"/>
      <c r="B1261" s="421"/>
      <c r="C1261" s="146"/>
      <c r="D1261" s="188"/>
      <c r="E1261" s="606" t="s">
        <v>1119</v>
      </c>
      <c r="F1261" s="153">
        <f>ROUND(SUM(F1254:F1260),2)</f>
        <v>117037.32</v>
      </c>
    </row>
    <row r="1262" spans="1:10" ht="12.75" customHeight="1" thickTop="1" x14ac:dyDescent="0.2">
      <c r="F1262" s="1093">
        <v>120000</v>
      </c>
    </row>
    <row r="1263" spans="1:10" ht="12.75" customHeight="1" x14ac:dyDescent="0.2"/>
    <row r="1264" spans="1:10" ht="12.75" customHeight="1" x14ac:dyDescent="0.2"/>
    <row r="1265" spans="2:9" ht="12.75" customHeight="1" x14ac:dyDescent="0.2">
      <c r="B1265" s="196" t="s">
        <v>1308</v>
      </c>
    </row>
    <row r="1266" spans="2:9" ht="11.85" customHeight="1" x14ac:dyDescent="0.25">
      <c r="B1266"/>
      <c r="C1266"/>
      <c r="D1266"/>
      <c r="E1266"/>
      <c r="F1266"/>
      <c r="G1266"/>
      <c r="H1266"/>
      <c r="I1266"/>
    </row>
    <row r="1267" spans="2:9" s="1096" customFormat="1" ht="12.75" hidden="1" x14ac:dyDescent="0.2">
      <c r="B1267" s="1094" t="s">
        <v>1190</v>
      </c>
      <c r="C1267" s="1095"/>
      <c r="D1267" s="1095"/>
      <c r="E1267" s="1095"/>
      <c r="F1267" s="1095"/>
    </row>
    <row r="1268" spans="2:9" s="1096" customFormat="1" ht="13.5" hidden="1" thickTop="1" x14ac:dyDescent="0.2">
      <c r="B1268" s="1097" t="s">
        <v>698</v>
      </c>
      <c r="C1268" s="1098">
        <v>13</v>
      </c>
      <c r="D1268" s="1099" t="s">
        <v>8</v>
      </c>
      <c r="E1268" s="1098"/>
      <c r="F1268" s="1100">
        <f t="shared" ref="F1268:F1276" si="33">C1268*E1268</f>
        <v>0</v>
      </c>
    </row>
    <row r="1269" spans="2:9" s="1096" customFormat="1" ht="12.75" hidden="1" x14ac:dyDescent="0.2">
      <c r="B1269" s="1101" t="s">
        <v>700</v>
      </c>
      <c r="C1269" s="1102">
        <v>13</v>
      </c>
      <c r="D1269" s="1103" t="s">
        <v>8</v>
      </c>
      <c r="E1269" s="1102">
        <v>18.850000000000001</v>
      </c>
      <c r="F1269" s="1104">
        <f t="shared" si="33"/>
        <v>245.05</v>
      </c>
    </row>
    <row r="1270" spans="2:9" s="1096" customFormat="1" ht="12.75" hidden="1" x14ac:dyDescent="0.2">
      <c r="B1270" s="1105" t="s">
        <v>1191</v>
      </c>
      <c r="C1270" s="1106">
        <v>13</v>
      </c>
      <c r="D1270" s="1107" t="s">
        <v>8</v>
      </c>
      <c r="E1270" s="1106">
        <v>5</v>
      </c>
      <c r="F1270" s="1108">
        <f t="shared" si="33"/>
        <v>65</v>
      </c>
    </row>
    <row r="1271" spans="2:9" s="1096" customFormat="1" ht="12.75" hidden="1" x14ac:dyDescent="0.2">
      <c r="B1271" s="1109" t="s">
        <v>701</v>
      </c>
      <c r="C1271" s="1106">
        <v>0.03</v>
      </c>
      <c r="D1271" s="1107" t="s">
        <v>88</v>
      </c>
      <c r="E1271" s="1106">
        <f>+F1242</f>
        <v>162.5</v>
      </c>
      <c r="F1271" s="1108">
        <f t="shared" si="33"/>
        <v>4.875</v>
      </c>
    </row>
    <row r="1272" spans="2:9" s="1096" customFormat="1" ht="12.75" hidden="1" x14ac:dyDescent="0.2">
      <c r="B1272" s="1105" t="s">
        <v>1192</v>
      </c>
      <c r="C1272" s="1106">
        <v>0.01</v>
      </c>
      <c r="D1272" s="1107" t="s">
        <v>88</v>
      </c>
      <c r="E1272" s="1106">
        <f>+F1265</f>
        <v>0</v>
      </c>
      <c r="F1272" s="1108">
        <f t="shared" si="33"/>
        <v>0</v>
      </c>
    </row>
    <row r="1273" spans="2:9" s="1096" customFormat="1" ht="12.75" hidden="1" x14ac:dyDescent="0.2">
      <c r="B1273" s="1105" t="s">
        <v>703</v>
      </c>
      <c r="C1273" s="1106">
        <v>0.03</v>
      </c>
      <c r="D1273" s="1107" t="s">
        <v>297</v>
      </c>
      <c r="E1273" s="1106">
        <f>+F1215</f>
        <v>319.95999999999998</v>
      </c>
      <c r="F1273" s="1108">
        <f t="shared" si="33"/>
        <v>9.5987999999999989</v>
      </c>
    </row>
    <row r="1274" spans="2:9" s="1096" customFormat="1" ht="12.75" hidden="1" x14ac:dyDescent="0.2">
      <c r="B1274" s="1105" t="s">
        <v>704</v>
      </c>
      <c r="C1274" s="1102">
        <v>0.18</v>
      </c>
      <c r="D1274" s="1107" t="s">
        <v>172</v>
      </c>
      <c r="E1274" s="1106">
        <v>45</v>
      </c>
      <c r="F1274" s="1108">
        <f t="shared" si="33"/>
        <v>8.1</v>
      </c>
    </row>
    <row r="1275" spans="2:9" s="1096" customFormat="1" ht="12.75" hidden="1" x14ac:dyDescent="0.2">
      <c r="B1275" s="1105" t="s">
        <v>689</v>
      </c>
      <c r="C1275" s="1106">
        <v>0.02</v>
      </c>
      <c r="D1275" s="1107" t="s">
        <v>343</v>
      </c>
      <c r="E1275" s="1106">
        <v>659</v>
      </c>
      <c r="F1275" s="1108">
        <f t="shared" si="33"/>
        <v>13.18</v>
      </c>
    </row>
    <row r="1276" spans="2:9" s="1096" customFormat="1" ht="12.75" hidden="1" x14ac:dyDescent="0.2">
      <c r="B1276" s="1105" t="s">
        <v>705</v>
      </c>
      <c r="C1276" s="1106">
        <v>0.01</v>
      </c>
      <c r="D1276" s="1107" t="s">
        <v>88</v>
      </c>
      <c r="E1276" s="1106">
        <v>659</v>
      </c>
      <c r="F1276" s="1108">
        <f t="shared" si="33"/>
        <v>6.59</v>
      </c>
    </row>
    <row r="1277" spans="2:9" s="1096" customFormat="1" ht="13.5" hidden="1" thickBot="1" x14ac:dyDescent="0.25">
      <c r="B1277" s="1110"/>
      <c r="C1277" s="1111"/>
      <c r="D1277" s="1112"/>
      <c r="E1277" s="1113" t="s">
        <v>530</v>
      </c>
      <c r="F1277" s="1114">
        <f>ROUND(SUM(F1268:F1276),2)</f>
        <v>352.39</v>
      </c>
    </row>
    <row r="1278" spans="2:9" s="1119" customFormat="1" ht="12.75" hidden="1" x14ac:dyDescent="0.2">
      <c r="B1278" s="1115"/>
      <c r="C1278" s="1116"/>
      <c r="D1278" s="1117"/>
      <c r="E1278" s="1118"/>
      <c r="F1278" s="1118"/>
      <c r="I1278" s="1119">
        <v>10</v>
      </c>
    </row>
    <row r="1279" spans="2:9" s="1096" customFormat="1" ht="12.75" hidden="1" x14ac:dyDescent="0.2">
      <c r="B1279" s="1094" t="s">
        <v>1193</v>
      </c>
      <c r="C1279" s="1095"/>
      <c r="D1279" s="1095"/>
      <c r="E1279" s="1095"/>
      <c r="F1279" s="1095"/>
    </row>
    <row r="1280" spans="2:9" s="1096" customFormat="1" ht="13.5" hidden="1" thickTop="1" x14ac:dyDescent="0.2">
      <c r="B1280" s="1097" t="s">
        <v>698</v>
      </c>
      <c r="C1280" s="1098">
        <v>13</v>
      </c>
      <c r="D1280" s="1099" t="s">
        <v>8</v>
      </c>
      <c r="E1280" s="1098"/>
      <c r="F1280" s="1100">
        <f t="shared" ref="F1280:F1287" si="34">C1280*E1280</f>
        <v>0</v>
      </c>
    </row>
    <row r="1281" spans="1:14" s="1096" customFormat="1" ht="12.75" hidden="1" x14ac:dyDescent="0.2">
      <c r="B1281" s="1101" t="s">
        <v>700</v>
      </c>
      <c r="C1281" s="1102">
        <v>13</v>
      </c>
      <c r="D1281" s="1103" t="s">
        <v>8</v>
      </c>
      <c r="E1281" s="1102">
        <v>18.850000000000001</v>
      </c>
      <c r="F1281" s="1104">
        <f t="shared" si="34"/>
        <v>245.05</v>
      </c>
    </row>
    <row r="1282" spans="1:14" s="1096" customFormat="1" ht="12.75" hidden="1" x14ac:dyDescent="0.2">
      <c r="B1282" s="1109" t="s">
        <v>701</v>
      </c>
      <c r="C1282" s="1106">
        <v>0.03</v>
      </c>
      <c r="D1282" s="1107" t="s">
        <v>88</v>
      </c>
      <c r="E1282" s="1106">
        <f>+F1254</f>
        <v>51652.04</v>
      </c>
      <c r="F1282" s="1108">
        <f t="shared" si="34"/>
        <v>1549.5611999999999</v>
      </c>
    </row>
    <row r="1283" spans="1:14" s="1096" customFormat="1" ht="12.75" hidden="1" x14ac:dyDescent="0.2">
      <c r="B1283" s="1105" t="s">
        <v>1192</v>
      </c>
      <c r="C1283" s="1106">
        <v>0.01</v>
      </c>
      <c r="D1283" s="1107" t="s">
        <v>88</v>
      </c>
      <c r="E1283" s="1106">
        <f>+F1277</f>
        <v>352.39</v>
      </c>
      <c r="F1283" s="1108">
        <f t="shared" si="34"/>
        <v>3.5238999999999998</v>
      </c>
    </row>
    <row r="1284" spans="1:14" s="1096" customFormat="1" ht="12.75" hidden="1" x14ac:dyDescent="0.2">
      <c r="B1284" s="1105" t="s">
        <v>703</v>
      </c>
      <c r="C1284" s="1106">
        <v>0.03</v>
      </c>
      <c r="D1284" s="1107" t="s">
        <v>297</v>
      </c>
      <c r="E1284" s="1106">
        <f>+F1227</f>
        <v>46424.34</v>
      </c>
      <c r="F1284" s="1108">
        <f t="shared" si="34"/>
        <v>1392.7301999999997</v>
      </c>
    </row>
    <row r="1285" spans="1:14" s="1096" customFormat="1" ht="12.75" hidden="1" x14ac:dyDescent="0.2">
      <c r="B1285" s="1105" t="s">
        <v>704</v>
      </c>
      <c r="C1285" s="1102">
        <v>0.18</v>
      </c>
      <c r="D1285" s="1107" t="s">
        <v>172</v>
      </c>
      <c r="E1285" s="1106"/>
      <c r="F1285" s="1108">
        <f t="shared" si="34"/>
        <v>0</v>
      </c>
    </row>
    <row r="1286" spans="1:14" s="1096" customFormat="1" ht="12.75" hidden="1" x14ac:dyDescent="0.2">
      <c r="B1286" s="1105" t="s">
        <v>689</v>
      </c>
      <c r="C1286" s="1106">
        <v>0.02</v>
      </c>
      <c r="D1286" s="1107" t="s">
        <v>343</v>
      </c>
      <c r="E1286" s="1106"/>
      <c r="F1286" s="1108">
        <f t="shared" si="34"/>
        <v>0</v>
      </c>
    </row>
    <row r="1287" spans="1:14" s="1096" customFormat="1" ht="12.75" hidden="1" x14ac:dyDescent="0.2">
      <c r="B1287" s="1105" t="s">
        <v>705</v>
      </c>
      <c r="C1287" s="1106">
        <v>0.01</v>
      </c>
      <c r="D1287" s="1107" t="s">
        <v>88</v>
      </c>
      <c r="E1287" s="1106">
        <v>659</v>
      </c>
      <c r="F1287" s="1108">
        <f t="shared" si="34"/>
        <v>6.59</v>
      </c>
    </row>
    <row r="1288" spans="1:14" s="1096" customFormat="1" ht="13.5" hidden="1" thickBot="1" x14ac:dyDescent="0.25">
      <c r="B1288" s="1110"/>
      <c r="C1288" s="1111"/>
      <c r="D1288" s="1112"/>
      <c r="E1288" s="1113" t="s">
        <v>530</v>
      </c>
      <c r="F1288" s="1114">
        <f>ROUND(SUM(F1280:F1287),2)</f>
        <v>3197.46</v>
      </c>
    </row>
    <row r="1289" spans="1:14" s="1126" customFormat="1" ht="12.75" x14ac:dyDescent="0.2">
      <c r="A1289" s="1120"/>
      <c r="B1289" s="1121"/>
      <c r="C1289" s="1122"/>
      <c r="D1289" s="1122"/>
      <c r="E1289" s="1123"/>
      <c r="F1289" s="1123"/>
      <c r="G1289" s="1124"/>
      <c r="H1289" s="1125"/>
    </row>
    <row r="1290" spans="1:14" s="1126" customFormat="1" ht="13.15" customHeight="1" thickBot="1" x14ac:dyDescent="0.25">
      <c r="B1290" s="1127" t="s">
        <v>1194</v>
      </c>
      <c r="C1290" s="1128"/>
      <c r="D1290" s="1128"/>
      <c r="E1290" s="1128"/>
      <c r="F1290" s="1128"/>
      <c r="I1290" s="1126">
        <f>3*10*0.01234</f>
        <v>0.37020000000000003</v>
      </c>
    </row>
    <row r="1291" spans="1:14" s="1126" customFormat="1" ht="13.15" customHeight="1" thickTop="1" x14ac:dyDescent="0.2">
      <c r="B1291" s="1129" t="s">
        <v>730</v>
      </c>
      <c r="C1291" s="1130">
        <v>1.05</v>
      </c>
      <c r="D1291" s="1131" t="s">
        <v>88</v>
      </c>
      <c r="E1291" s="1130">
        <f>F195</f>
        <v>6278.2195999999994</v>
      </c>
      <c r="F1291" s="1132">
        <f>C1291*E1291</f>
        <v>6592.13058</v>
      </c>
      <c r="G1291" s="1126">
        <v>6592.13058</v>
      </c>
      <c r="I1291" s="1126">
        <f>10/0.25+1</f>
        <v>41</v>
      </c>
      <c r="J1291" s="1126">
        <f>0.45+0.14</f>
        <v>0.59000000000000008</v>
      </c>
      <c r="K1291" s="1126">
        <f>+J1291*I1291*0.01234</f>
        <v>0.29850460000000006</v>
      </c>
      <c r="L1291" s="1126">
        <f>+K1291+I1290</f>
        <v>0.66870460000000009</v>
      </c>
    </row>
    <row r="1292" spans="1:14" s="1126" customFormat="1" ht="13.15" customHeight="1" x14ac:dyDescent="0.2">
      <c r="B1292" s="1133" t="s">
        <v>812</v>
      </c>
      <c r="C1292" s="1134">
        <v>0.87</v>
      </c>
      <c r="D1292" s="1135" t="s">
        <v>297</v>
      </c>
      <c r="E1292" s="1134">
        <f>F74</f>
        <v>2803.6545555555554</v>
      </c>
      <c r="F1292" s="1136">
        <f>C1292*E1292</f>
        <v>2439.1794633333329</v>
      </c>
      <c r="G1292" s="1126">
        <v>2823.3936000000003</v>
      </c>
      <c r="L1292" s="1126">
        <f>10*0.45*0.25</f>
        <v>1.125</v>
      </c>
      <c r="M1292" s="1126">
        <f>+L1291/L1292</f>
        <v>0.59440408888888896</v>
      </c>
      <c r="N1292" s="1126">
        <f>+M1292*1.07</f>
        <v>0.63601237511111119</v>
      </c>
    </row>
    <row r="1293" spans="1:14" s="1126" customFormat="1" ht="13.15" customHeight="1" thickBot="1" x14ac:dyDescent="0.25">
      <c r="B1293" s="1137"/>
      <c r="C1293" s="1138"/>
      <c r="D1293" s="1138"/>
      <c r="E1293" s="1139"/>
      <c r="F1293" s="1140">
        <f>ROUND(SUM(F1290:F1292),2)</f>
        <v>9031.31</v>
      </c>
    </row>
    <row r="1294" spans="1:14" s="1126" customFormat="1" ht="13.15" customHeight="1" thickTop="1" x14ac:dyDescent="0.2">
      <c r="B1294" s="1141"/>
      <c r="C1294" s="1142"/>
      <c r="D1294" s="1142"/>
      <c r="E1294" s="1142"/>
      <c r="F1294" s="1142"/>
      <c r="I1294" s="1126">
        <v>8</v>
      </c>
      <c r="J1294" s="1126">
        <f>0.75+0.15</f>
        <v>0.9</v>
      </c>
      <c r="K1294" s="1126">
        <v>2.1999999999999999E-2</v>
      </c>
      <c r="L1294" s="1126">
        <f>+K1294*J1294*I1294</f>
        <v>0.15839999999999999</v>
      </c>
      <c r="M1294" s="1126">
        <f>+L1294/L1295</f>
        <v>1.1263999999999998</v>
      </c>
    </row>
    <row r="1295" spans="1:14" s="1125" customFormat="1" ht="12.6" customHeight="1" thickBot="1" x14ac:dyDescent="0.25">
      <c r="A1295" s="1143"/>
      <c r="B1295" s="1127" t="s">
        <v>1195</v>
      </c>
      <c r="C1295" s="1128"/>
      <c r="D1295" s="1144"/>
      <c r="E1295" s="1128"/>
      <c r="F1295" s="1128"/>
      <c r="L1295" s="1125">
        <f>0.75*0.75*0.25</f>
        <v>0.140625</v>
      </c>
      <c r="M1295" s="1125">
        <f>+M1294*1.07</f>
        <v>1.2052479999999999</v>
      </c>
    </row>
    <row r="1296" spans="1:14" s="1125" customFormat="1" ht="12.6" customHeight="1" thickTop="1" x14ac:dyDescent="0.2">
      <c r="A1296" s="1143"/>
      <c r="B1296" s="1145" t="s">
        <v>730</v>
      </c>
      <c r="C1296" s="1146">
        <v>1.05</v>
      </c>
      <c r="D1296" s="1147" t="s">
        <v>88</v>
      </c>
      <c r="E1296" s="1146">
        <f>+E1291</f>
        <v>6278.2195999999994</v>
      </c>
      <c r="F1296" s="1148">
        <f>C1296*E1296</f>
        <v>6592.13058</v>
      </c>
    </row>
    <row r="1297" spans="1:13" s="1125" customFormat="1" ht="12.6" customHeight="1" x14ac:dyDescent="0.2">
      <c r="A1297" s="1143"/>
      <c r="B1297" s="1149" t="s">
        <v>812</v>
      </c>
      <c r="C1297" s="1150">
        <v>2.08</v>
      </c>
      <c r="D1297" s="1151" t="s">
        <v>297</v>
      </c>
      <c r="E1297" s="1150">
        <f>+E1292</f>
        <v>2803.6545555555554</v>
      </c>
      <c r="F1297" s="1152">
        <f>C1297*E1297</f>
        <v>5831.6014755555552</v>
      </c>
    </row>
    <row r="1298" spans="1:13" s="1125" customFormat="1" ht="12.6" customHeight="1" thickBot="1" x14ac:dyDescent="0.25">
      <c r="A1298" s="1143"/>
      <c r="B1298" s="1153"/>
      <c r="C1298" s="1154"/>
      <c r="D1298" s="1155"/>
      <c r="E1298" s="1156"/>
      <c r="F1298" s="1157">
        <f>ROUND(SUM(F1295:F1297),2)</f>
        <v>12423.73</v>
      </c>
    </row>
    <row r="1299" spans="1:13" s="1125" customFormat="1" ht="12.6" customHeight="1" thickTop="1" x14ac:dyDescent="0.2">
      <c r="A1299" s="1143"/>
      <c r="B1299" s="1121"/>
      <c r="C1299" s="1122"/>
      <c r="D1299" s="1158"/>
      <c r="E1299" s="1123"/>
      <c r="F1299" s="1123"/>
    </row>
    <row r="1300" spans="1:13" s="1125" customFormat="1" ht="12.75" customHeight="1" x14ac:dyDescent="0.2">
      <c r="A1300" s="1143"/>
      <c r="B1300" s="1121"/>
      <c r="C1300" s="1122"/>
      <c r="D1300" s="1158"/>
      <c r="E1300" s="1123"/>
      <c r="F1300" s="1123"/>
    </row>
    <row r="1301" spans="1:13" s="1159" customFormat="1" ht="12.6" customHeight="1" thickBot="1" x14ac:dyDescent="0.25">
      <c r="B1301" s="1160" t="s">
        <v>1341</v>
      </c>
      <c r="C1301" s="1161"/>
      <c r="D1301" s="1161"/>
      <c r="E1301" s="1161"/>
      <c r="F1301" s="1161"/>
      <c r="I1301" s="1159">
        <f>1/(0.2*0.25)</f>
        <v>20</v>
      </c>
      <c r="J1301" s="1159">
        <v>0.25</v>
      </c>
      <c r="K1301" s="1159">
        <v>0.2</v>
      </c>
      <c r="L1301" s="1159">
        <f>+K1301*J1301*I1301</f>
        <v>1</v>
      </c>
    </row>
    <row r="1302" spans="1:13" s="1159" customFormat="1" ht="12.6" customHeight="1" thickTop="1" x14ac:dyDescent="0.2">
      <c r="B1302" s="1162" t="s">
        <v>1197</v>
      </c>
      <c r="C1302" s="1163">
        <v>1.05</v>
      </c>
      <c r="D1302" s="1164" t="s">
        <v>88</v>
      </c>
      <c r="E1302" s="1165">
        <f>F184</f>
        <v>6621.6739999999991</v>
      </c>
      <c r="F1302" s="1166">
        <f>C1302*E1302</f>
        <v>6952.7576999999992</v>
      </c>
    </row>
    <row r="1303" spans="1:13" s="1159" customFormat="1" ht="12.6" customHeight="1" x14ac:dyDescent="0.2">
      <c r="B1303" s="1167" t="s">
        <v>813</v>
      </c>
      <c r="C1303" s="1168">
        <f>1/(0.2*0.2)</f>
        <v>24.999999999999996</v>
      </c>
      <c r="D1303" s="1171" t="s">
        <v>41</v>
      </c>
      <c r="E1303" s="1172">
        <v>150</v>
      </c>
      <c r="F1303" s="1170">
        <f>C1303*E1303</f>
        <v>3749.9999999999995</v>
      </c>
      <c r="L1303" s="1159" t="e">
        <f>SUM(#REF!)</f>
        <v>#REF!</v>
      </c>
      <c r="M1303" s="1159" t="e">
        <f>+L1303*1.07</f>
        <v>#REF!</v>
      </c>
    </row>
    <row r="1304" spans="1:13" s="1159" customFormat="1" ht="12.6" customHeight="1" thickBot="1" x14ac:dyDescent="0.25">
      <c r="B1304" s="1173"/>
      <c r="C1304" s="1174"/>
      <c r="D1304" s="1174"/>
      <c r="E1304" s="1175" t="s">
        <v>530</v>
      </c>
      <c r="F1304" s="1176">
        <f>ROUND(SUM(F1302:F1303),2)</f>
        <v>10702.76</v>
      </c>
    </row>
    <row r="1305" spans="1:13" s="1159" customFormat="1" ht="12.6" customHeight="1" thickTop="1" x14ac:dyDescent="0.2">
      <c r="B1305" s="1397"/>
      <c r="C1305" s="1398"/>
      <c r="D1305" s="1398"/>
      <c r="E1305" s="1399"/>
      <c r="F1305" s="1399"/>
    </row>
    <row r="1306" spans="1:13" s="1159" customFormat="1" ht="12.6" customHeight="1" thickBot="1" x14ac:dyDescent="0.25">
      <c r="B1306" s="1160" t="s">
        <v>1196</v>
      </c>
      <c r="C1306" s="1161"/>
      <c r="D1306" s="1161"/>
      <c r="E1306" s="1161"/>
      <c r="F1306" s="1161"/>
      <c r="I1306" s="1159">
        <f>1/(0.2*0.25)</f>
        <v>20</v>
      </c>
      <c r="J1306" s="1159">
        <v>0.25</v>
      </c>
      <c r="K1306" s="1159">
        <v>0.2</v>
      </c>
      <c r="L1306" s="1159">
        <f>+K1306*J1306*I1306</f>
        <v>1</v>
      </c>
    </row>
    <row r="1307" spans="1:13" s="1159" customFormat="1" ht="12.6" customHeight="1" thickTop="1" x14ac:dyDescent="0.2">
      <c r="B1307" s="1162" t="s">
        <v>1197</v>
      </c>
      <c r="C1307" s="1163">
        <v>1.05</v>
      </c>
      <c r="D1307" s="1164" t="s">
        <v>88</v>
      </c>
      <c r="E1307" s="1165">
        <f>+F184</f>
        <v>6621.6739999999991</v>
      </c>
      <c r="F1307" s="1166">
        <f>C1307*E1307</f>
        <v>6952.7576999999992</v>
      </c>
    </row>
    <row r="1308" spans="1:13" s="1159" customFormat="1" ht="12.6" customHeight="1" x14ac:dyDescent="0.2">
      <c r="B1308" s="1167" t="s">
        <v>1198</v>
      </c>
      <c r="C1308" s="1168">
        <v>2.4500000000000002</v>
      </c>
      <c r="D1308" s="1169" t="s">
        <v>297</v>
      </c>
      <c r="E1308" s="1168">
        <f>+E1297</f>
        <v>2803.6545555555554</v>
      </c>
      <c r="F1308" s="1170">
        <f>C1308*E1308</f>
        <v>6868.9536611111107</v>
      </c>
      <c r="I1308" s="1159">
        <v>5</v>
      </c>
      <c r="J1308" s="1159">
        <v>20</v>
      </c>
      <c r="K1308" s="1159">
        <v>1.23E-2</v>
      </c>
      <c r="L1308" s="1159">
        <f>+K1308*J1308*I1308</f>
        <v>1.23</v>
      </c>
    </row>
    <row r="1309" spans="1:13" s="1159" customFormat="1" ht="12.6" customHeight="1" x14ac:dyDescent="0.2">
      <c r="B1309" s="1167"/>
      <c r="C1309" s="1168"/>
      <c r="D1309" s="1169"/>
      <c r="E1309" s="1168"/>
      <c r="F1309" s="1170">
        <f>C1309*E1309</f>
        <v>0</v>
      </c>
      <c r="I1309" s="1159">
        <f>20/0.2+1</f>
        <v>101</v>
      </c>
      <c r="J1309" s="1159">
        <f>0.2*2+0.25*2+0.1</f>
        <v>1</v>
      </c>
      <c r="K1309" s="1159">
        <v>1.23E-2</v>
      </c>
      <c r="L1309" s="1159">
        <f>+K1309*J1309*I1309</f>
        <v>1.2423</v>
      </c>
    </row>
    <row r="1310" spans="1:13" s="1159" customFormat="1" ht="12.6" customHeight="1" x14ac:dyDescent="0.2">
      <c r="B1310" s="1167" t="s">
        <v>813</v>
      </c>
      <c r="C1310" s="1168">
        <f>1/(0.2*0.2)</f>
        <v>24.999999999999996</v>
      </c>
      <c r="D1310" s="1171" t="s">
        <v>41</v>
      </c>
      <c r="E1310" s="1172">
        <v>220</v>
      </c>
      <c r="F1310" s="1170">
        <f>C1310*E1310</f>
        <v>5499.9999999999991</v>
      </c>
      <c r="L1310" s="1159">
        <f>SUM(L1308:L1309)</f>
        <v>2.4722999999999997</v>
      </c>
      <c r="M1310" s="1159">
        <f>+L1310*1.07</f>
        <v>2.6453609999999999</v>
      </c>
    </row>
    <row r="1311" spans="1:13" s="1159" customFormat="1" ht="12.6" customHeight="1" thickBot="1" x14ac:dyDescent="0.25">
      <c r="B1311" s="1173"/>
      <c r="C1311" s="1174"/>
      <c r="D1311" s="1174"/>
      <c r="E1311" s="1175" t="s">
        <v>530</v>
      </c>
      <c r="F1311" s="1176">
        <f>ROUND(SUM(F1307:F1310),2)</f>
        <v>19321.71</v>
      </c>
    </row>
    <row r="1312" spans="1:13" s="1126" customFormat="1" ht="12.6" customHeight="1" thickTop="1" x14ac:dyDescent="0.2">
      <c r="B1312" s="1177"/>
      <c r="C1312" s="1178"/>
      <c r="D1312" s="1178"/>
      <c r="E1312" s="1178"/>
      <c r="F1312" s="1178"/>
    </row>
    <row r="1313" spans="1:14" s="1126" customFormat="1" ht="1.5" customHeight="1" x14ac:dyDescent="0.2">
      <c r="B1313" s="1141"/>
      <c r="C1313" s="1142"/>
      <c r="D1313" s="1142"/>
      <c r="E1313" s="1179"/>
      <c r="F1313" s="1180"/>
    </row>
    <row r="1314" spans="1:14" s="1126" customFormat="1" ht="13.15" customHeight="1" x14ac:dyDescent="0.25">
      <c r="B1314" s="1181"/>
      <c r="C1314" s="1182"/>
      <c r="D1314" s="1183"/>
      <c r="E1314" s="1183"/>
      <c r="F1314" s="1184"/>
    </row>
    <row r="1315" spans="1:14" s="1119" customFormat="1" ht="0.75" customHeight="1" x14ac:dyDescent="0.2">
      <c r="A1315" s="1185"/>
      <c r="B1315" s="1186"/>
      <c r="C1315" s="1187"/>
      <c r="D1315" s="1188"/>
      <c r="E1315" s="1187"/>
      <c r="F1315" s="1187"/>
    </row>
    <row r="1316" spans="1:14" s="1159" customFormat="1" ht="12.6" customHeight="1" thickBot="1" x14ac:dyDescent="0.25">
      <c r="B1316" s="1160" t="s">
        <v>1200</v>
      </c>
      <c r="C1316" s="1161"/>
      <c r="D1316" s="1161"/>
      <c r="E1316" s="1161"/>
      <c r="F1316" s="1161"/>
      <c r="I1316" s="1159">
        <f>1/(0.2*0.25)</f>
        <v>20</v>
      </c>
      <c r="J1316" s="1159">
        <v>0.25</v>
      </c>
      <c r="K1316" s="1159">
        <v>0.2</v>
      </c>
      <c r="L1316" s="1159">
        <f>+K1316*J1316*I1316</f>
        <v>1</v>
      </c>
    </row>
    <row r="1317" spans="1:14" s="1159" customFormat="1" ht="12.6" customHeight="1" thickTop="1" x14ac:dyDescent="0.2">
      <c r="B1317" s="1162" t="s">
        <v>1197</v>
      </c>
      <c r="C1317" s="1163">
        <v>1.05</v>
      </c>
      <c r="D1317" s="1164" t="s">
        <v>88</v>
      </c>
      <c r="E1317" s="1165">
        <f>+E1307</f>
        <v>6621.6739999999991</v>
      </c>
      <c r="F1317" s="1166">
        <f>C1317*E1317</f>
        <v>6952.7576999999992</v>
      </c>
    </row>
    <row r="1318" spans="1:14" s="1159" customFormat="1" ht="12.6" customHeight="1" x14ac:dyDescent="0.2">
      <c r="B1318" s="1167" t="s">
        <v>1198</v>
      </c>
      <c r="C1318" s="1168">
        <v>3.22</v>
      </c>
      <c r="D1318" s="1169" t="s">
        <v>297</v>
      </c>
      <c r="E1318" s="1168">
        <f>+E1308</f>
        <v>2803.6545555555554</v>
      </c>
      <c r="F1318" s="1170">
        <f>C1318*E1318</f>
        <v>9027.7676688888896</v>
      </c>
      <c r="I1318" s="1159">
        <v>5</v>
      </c>
      <c r="J1318" s="1159">
        <v>20</v>
      </c>
      <c r="K1318" s="1159">
        <v>1.23E-2</v>
      </c>
      <c r="L1318" s="1159">
        <f>+K1318*J1318*I1318</f>
        <v>1.23</v>
      </c>
    </row>
    <row r="1319" spans="1:14" s="1159" customFormat="1" ht="12.6" customHeight="1" x14ac:dyDescent="0.2">
      <c r="B1319" s="1167" t="s">
        <v>1199</v>
      </c>
      <c r="C1319" s="1168">
        <f>1/(0.2*0.25)</f>
        <v>20</v>
      </c>
      <c r="D1319" s="1169" t="s">
        <v>41</v>
      </c>
      <c r="E1319" s="1168"/>
      <c r="F1319" s="1170">
        <f>C1319*E1319</f>
        <v>0</v>
      </c>
      <c r="I1319" s="1159">
        <f>20/0.2+1</f>
        <v>101</v>
      </c>
      <c r="J1319" s="1159">
        <f>0.2*2+0.25*2+0.1</f>
        <v>1</v>
      </c>
      <c r="K1319" s="1159">
        <v>1.23E-2</v>
      </c>
      <c r="L1319" s="1159">
        <f>+K1319*J1319*I1319</f>
        <v>1.2423</v>
      </c>
    </row>
    <row r="1320" spans="1:14" s="1159" customFormat="1" ht="12.6" customHeight="1" x14ac:dyDescent="0.2">
      <c r="B1320" s="1167" t="s">
        <v>813</v>
      </c>
      <c r="C1320" s="1168">
        <f>1/(0.2*0.15)</f>
        <v>33.333333333333336</v>
      </c>
      <c r="D1320" s="1171" t="s">
        <v>41</v>
      </c>
      <c r="E1320" s="1172">
        <v>200</v>
      </c>
      <c r="F1320" s="1170">
        <f>C1320*E1320</f>
        <v>6666.666666666667</v>
      </c>
      <c r="L1320" s="1159">
        <f>SUM(L1318:L1319)</f>
        <v>2.4722999999999997</v>
      </c>
      <c r="M1320" s="1159">
        <f>+L1320*1.07</f>
        <v>2.6453609999999999</v>
      </c>
    </row>
    <row r="1321" spans="1:14" s="1159" customFormat="1" ht="12.6" customHeight="1" thickBot="1" x14ac:dyDescent="0.25">
      <c r="B1321" s="1173"/>
      <c r="C1321" s="1174"/>
      <c r="D1321" s="1174"/>
      <c r="E1321" s="1175" t="s">
        <v>530</v>
      </c>
      <c r="F1321" s="1176">
        <f>ROUND(SUM(F1317:F1320),2)</f>
        <v>22647.19</v>
      </c>
    </row>
    <row r="1322" spans="1:14" s="1193" customFormat="1" ht="12.6" customHeight="1" thickTop="1" x14ac:dyDescent="0.2">
      <c r="A1322" s="1189"/>
      <c r="B1322" s="1190"/>
      <c r="C1322" s="1191"/>
      <c r="D1322" s="1192"/>
      <c r="E1322" s="1191"/>
      <c r="F1322" s="1191"/>
    </row>
    <row r="1323" spans="1:14" s="1193" customFormat="1" ht="12.6" customHeight="1" thickBot="1" x14ac:dyDescent="0.25">
      <c r="A1323" s="1189"/>
      <c r="B1323" s="1190" t="s">
        <v>1201</v>
      </c>
      <c r="C1323" s="1194"/>
      <c r="D1323" s="1195"/>
      <c r="E1323" s="1194"/>
      <c r="F1323" s="1194"/>
    </row>
    <row r="1324" spans="1:14" s="1193" customFormat="1" ht="12.6" customHeight="1" thickTop="1" x14ac:dyDescent="0.2">
      <c r="A1324" s="1189"/>
      <c r="B1324" s="1196" t="s">
        <v>1197</v>
      </c>
      <c r="C1324" s="1165">
        <v>1.05</v>
      </c>
      <c r="D1324" s="1197" t="s">
        <v>88</v>
      </c>
      <c r="E1324" s="1165">
        <f>+F184</f>
        <v>6621.6739999999991</v>
      </c>
      <c r="F1324" s="1198">
        <f>C1324*E1324</f>
        <v>6952.7576999999992</v>
      </c>
      <c r="I1324" s="1193">
        <v>3.2</v>
      </c>
      <c r="J1324" s="1193">
        <v>0.25</v>
      </c>
      <c r="K1324" s="1193">
        <v>0.25</v>
      </c>
      <c r="L1324" s="1193">
        <f>+K1324*J1324*I1324</f>
        <v>0.2</v>
      </c>
    </row>
    <row r="1325" spans="1:14" s="1193" customFormat="1" ht="12.6" customHeight="1" x14ac:dyDescent="0.2">
      <c r="A1325" s="1189"/>
      <c r="B1325" s="1199" t="s">
        <v>1202</v>
      </c>
      <c r="C1325" s="1200">
        <v>4.3600000000000003</v>
      </c>
      <c r="D1325" s="1201" t="s">
        <v>297</v>
      </c>
      <c r="E1325" s="1200">
        <f>+E1308</f>
        <v>2803.6545555555554</v>
      </c>
      <c r="F1325" s="1202">
        <f>C1325*E1325</f>
        <v>12223.933862222222</v>
      </c>
      <c r="I1325" s="1193">
        <v>4</v>
      </c>
      <c r="J1325" s="1193">
        <v>3.75</v>
      </c>
      <c r="K1325" s="1193">
        <v>1.234E-2</v>
      </c>
      <c r="L1325" s="1193">
        <f>+K1325*J1325*I1325</f>
        <v>0.18510000000000001</v>
      </c>
    </row>
    <row r="1326" spans="1:14" s="1193" customFormat="1" ht="12.6" customHeight="1" x14ac:dyDescent="0.2">
      <c r="A1326" s="1189"/>
      <c r="B1326" s="1203" t="s">
        <v>528</v>
      </c>
      <c r="C1326" s="1200">
        <f>1/(0.25*0.25)</f>
        <v>16</v>
      </c>
      <c r="D1326" s="1201" t="s">
        <v>128</v>
      </c>
      <c r="E1326" s="1200">
        <f>+E1309</f>
        <v>0</v>
      </c>
      <c r="F1326" s="1202">
        <f>C1326*E1326</f>
        <v>0</v>
      </c>
      <c r="I1326" s="1193">
        <f>+I1324/0.15+1</f>
        <v>22.333333333333336</v>
      </c>
      <c r="J1326" s="1193">
        <f>0.25*4+0.14</f>
        <v>1.1400000000000001</v>
      </c>
      <c r="K1326" s="1193">
        <f>+K1325</f>
        <v>1.234E-2</v>
      </c>
      <c r="L1326" s="1193">
        <f>+K1326*J1326*I1326</f>
        <v>0.31417640000000008</v>
      </c>
    </row>
    <row r="1327" spans="1:14" s="1193" customFormat="1" ht="12.6" customHeight="1" x14ac:dyDescent="0.2">
      <c r="A1327" s="1189"/>
      <c r="B1327" s="1199" t="s">
        <v>813</v>
      </c>
      <c r="C1327" s="1200">
        <f>1/(0.25*0.25)</f>
        <v>16</v>
      </c>
      <c r="D1327" s="1201" t="s">
        <v>128</v>
      </c>
      <c r="E1327" s="1200">
        <v>350</v>
      </c>
      <c r="F1327" s="1202">
        <f>C1327*E1327</f>
        <v>5600</v>
      </c>
      <c r="I1327" s="1193">
        <v>4</v>
      </c>
      <c r="J1327" s="1193">
        <f>+J1325</f>
        <v>3.75</v>
      </c>
      <c r="K1327" s="1193">
        <v>2.1899999999999999E-2</v>
      </c>
      <c r="L1327" s="1193">
        <f>+K1327*J1327*I1327</f>
        <v>0.32850000000000001</v>
      </c>
    </row>
    <row r="1328" spans="1:14" s="1193" customFormat="1" ht="12.6" customHeight="1" thickBot="1" x14ac:dyDescent="0.25">
      <c r="A1328" s="1189"/>
      <c r="B1328" s="1204"/>
      <c r="C1328" s="1205"/>
      <c r="D1328" s="1206"/>
      <c r="E1328" s="1207"/>
      <c r="F1328" s="1208">
        <f>ROUND(SUM(F1324:F1327),2)</f>
        <v>24776.69</v>
      </c>
      <c r="L1328" s="1193">
        <f>SUM(L1325:L1327)</f>
        <v>0.82777640000000008</v>
      </c>
      <c r="M1328" s="1193">
        <f>+L1328/L1324</f>
        <v>4.1388819999999997</v>
      </c>
      <c r="N1328" s="1193">
        <f>+M1328*1.07</f>
        <v>4.4286037399999998</v>
      </c>
    </row>
    <row r="1329" spans="1:12" s="1125" customFormat="1" ht="12.6" customHeight="1" thickTop="1" x14ac:dyDescent="0.2">
      <c r="A1329" s="1143"/>
      <c r="B1329" s="1209"/>
      <c r="C1329" s="1122"/>
      <c r="D1329" s="1158"/>
      <c r="E1329" s="1122"/>
      <c r="F1329" s="1122"/>
    </row>
    <row r="1330" spans="1:12" s="1125" customFormat="1" ht="12.6" customHeight="1" x14ac:dyDescent="0.2">
      <c r="A1330" s="1143"/>
      <c r="B1330" s="1209"/>
      <c r="C1330" s="1210"/>
      <c r="D1330" s="1158"/>
      <c r="E1330" s="1122"/>
      <c r="F1330" s="1122"/>
    </row>
    <row r="1332" spans="1:12" s="1213" customFormat="1" ht="13.5" thickBot="1" x14ac:dyDescent="0.25">
      <c r="A1332" s="1211"/>
      <c r="B1332" s="1211" t="s">
        <v>1203</v>
      </c>
      <c r="C1332" s="1212"/>
      <c r="D1332" s="1212"/>
      <c r="E1332" s="1212"/>
      <c r="F1332" s="1212"/>
    </row>
    <row r="1333" spans="1:12" s="1213" customFormat="1" ht="12.75" x14ac:dyDescent="0.2">
      <c r="A1333" s="1214"/>
      <c r="B1333" s="1214" t="s">
        <v>1098</v>
      </c>
      <c r="C1333" s="1215">
        <v>10</v>
      </c>
      <c r="D1333" s="1216" t="s">
        <v>41</v>
      </c>
      <c r="E1333" s="1217">
        <f>850/5</f>
        <v>170</v>
      </c>
      <c r="F1333" s="1218">
        <f>ROUND(C1333*E1333,2)</f>
        <v>1700</v>
      </c>
      <c r="H1333" s="1213" t="s">
        <v>1204</v>
      </c>
      <c r="L1333" s="1213" t="s">
        <v>1205</v>
      </c>
    </row>
    <row r="1334" spans="1:12" s="1213" customFormat="1" ht="12.75" x14ac:dyDescent="0.2">
      <c r="A1334" s="1214"/>
      <c r="B1334" s="1214" t="s">
        <v>1206</v>
      </c>
      <c r="C1334" s="1217">
        <v>5</v>
      </c>
      <c r="D1334" s="1219" t="s">
        <v>8</v>
      </c>
      <c r="E1334" s="1220">
        <v>300</v>
      </c>
      <c r="F1334" s="1221">
        <f>ROUND(C1334*E1334,2)</f>
        <v>1500</v>
      </c>
    </row>
    <row r="1335" spans="1:12" s="1213" customFormat="1" ht="12.75" x14ac:dyDescent="0.2">
      <c r="A1335" s="1222"/>
      <c r="B1335" s="1222" t="s">
        <v>1100</v>
      </c>
      <c r="C1335" s="1217">
        <v>20</v>
      </c>
      <c r="D1335" s="1219" t="s">
        <v>41</v>
      </c>
      <c r="E1335" s="1217">
        <v>20</v>
      </c>
      <c r="F1335" s="1223">
        <f>ROUND(C1335*E1335,2)</f>
        <v>400</v>
      </c>
    </row>
    <row r="1336" spans="1:12" s="1213" customFormat="1" ht="12.75" x14ac:dyDescent="0.2">
      <c r="A1336" s="1224"/>
      <c r="B1336" s="1224" t="s">
        <v>1101</v>
      </c>
      <c r="C1336" s="1225">
        <v>2.5</v>
      </c>
      <c r="D1336" s="1219" t="s">
        <v>325</v>
      </c>
      <c r="E1336" s="1220">
        <v>53</v>
      </c>
      <c r="F1336" s="1226">
        <f>ROUND(C1336*E1336,2)</f>
        <v>132.5</v>
      </c>
      <c r="G1336" s="1213">
        <v>43.9</v>
      </c>
      <c r="H1336" s="1213" t="e">
        <f>D1336/G1336</f>
        <v>#VALUE!</v>
      </c>
      <c r="I1336" s="1213">
        <f>2650/50</f>
        <v>53</v>
      </c>
    </row>
    <row r="1337" spans="1:12" s="1213" customFormat="1" ht="12.75" x14ac:dyDescent="0.2">
      <c r="A1337" s="1222"/>
      <c r="B1337" s="1222" t="s">
        <v>528</v>
      </c>
      <c r="C1337" s="1225">
        <v>10</v>
      </c>
      <c r="D1337" s="1219" t="s">
        <v>41</v>
      </c>
      <c r="E1337" s="1217">
        <v>300</v>
      </c>
      <c r="F1337" s="1226">
        <f>ROUND(C1337*E1337,2)</f>
        <v>3000</v>
      </c>
    </row>
    <row r="1338" spans="1:12" s="1213" customFormat="1" ht="13.5" thickBot="1" x14ac:dyDescent="0.25">
      <c r="A1338" s="1227"/>
      <c r="B1338" s="1227"/>
      <c r="C1338" s="1228"/>
      <c r="D1338" s="1229"/>
      <c r="E1338" s="1230" t="s">
        <v>41</v>
      </c>
      <c r="F1338" s="1231">
        <f>SUM(F1333:F1337)</f>
        <v>6732.5</v>
      </c>
      <c r="J1338" s="1213">
        <f>G1336/20</f>
        <v>2.1949999999999998</v>
      </c>
    </row>
    <row r="1339" spans="1:12" s="1213" customFormat="1" ht="12.75" x14ac:dyDescent="0.2">
      <c r="A1339" s="1232"/>
      <c r="B1339" s="1232"/>
      <c r="C1339" s="1232"/>
      <c r="D1339" s="1232"/>
      <c r="E1339" s="1211" t="s">
        <v>1207</v>
      </c>
      <c r="F1339" s="1233">
        <f>F1338/10</f>
        <v>673.25</v>
      </c>
      <c r="H1339" s="1213">
        <f>10/2</f>
        <v>5</v>
      </c>
    </row>
    <row r="1344" spans="1:12" ht="21.75" customHeight="1" x14ac:dyDescent="0.25">
      <c r="B1344" s="1730" t="s">
        <v>1208</v>
      </c>
      <c r="C1344" s="1730"/>
      <c r="D1344" s="1730"/>
      <c r="E1344" s="1730"/>
      <c r="F1344" s="1730"/>
    </row>
    <row r="1348" spans="2:6" ht="11.85" customHeight="1" thickBot="1" x14ac:dyDescent="0.25">
      <c r="B1348" s="1234" t="s">
        <v>1209</v>
      </c>
      <c r="C1348" s="1128"/>
      <c r="D1348" s="1128"/>
      <c r="E1348" s="1128"/>
      <c r="F1348" s="1128"/>
    </row>
    <row r="1349" spans="2:6" ht="11.85" customHeight="1" thickTop="1" x14ac:dyDescent="0.2">
      <c r="B1349" s="935" t="s">
        <v>1210</v>
      </c>
      <c r="C1349" s="1235">
        <v>1.05</v>
      </c>
      <c r="D1349" s="1236" t="s">
        <v>88</v>
      </c>
      <c r="E1349" s="1235">
        <f>E1307</f>
        <v>6621.6739999999991</v>
      </c>
      <c r="F1349" s="1237">
        <f>C1349*E1349</f>
        <v>6952.7576999999992</v>
      </c>
    </row>
    <row r="1350" spans="2:6" ht="11.85" customHeight="1" x14ac:dyDescent="0.2">
      <c r="B1350" s="937" t="s">
        <v>812</v>
      </c>
      <c r="C1350" s="1238">
        <v>0.85</v>
      </c>
      <c r="D1350" s="1239" t="s">
        <v>297</v>
      </c>
      <c r="E1350" s="1238">
        <f>F378</f>
        <v>3245.28</v>
      </c>
      <c r="F1350" s="1240">
        <f>C1350*E1350</f>
        <v>2758.4880000000003</v>
      </c>
    </row>
    <row r="1351" spans="2:6" ht="11.85" customHeight="1" thickBot="1" x14ac:dyDescent="0.25">
      <c r="B1351" s="947"/>
      <c r="C1351" s="1241"/>
      <c r="D1351" s="1241"/>
      <c r="E1351" s="1242"/>
      <c r="F1351" s="1140">
        <f>ROUND(SUM(F1349:F1350),2)</f>
        <v>9711.25</v>
      </c>
    </row>
    <row r="1352" spans="2:6" ht="11.85" customHeight="1" thickTop="1" x14ac:dyDescent="0.2"/>
    <row r="1355" spans="2:6" ht="17.25" customHeight="1" thickBot="1" x14ac:dyDescent="0.25">
      <c r="B1355" s="1243" t="s">
        <v>1343</v>
      </c>
      <c r="C1355" s="1244"/>
      <c r="D1355" s="1244"/>
      <c r="E1355" s="1244"/>
      <c r="F1355" s="1244"/>
    </row>
    <row r="1356" spans="2:6" ht="11.85" customHeight="1" thickTop="1" x14ac:dyDescent="0.2">
      <c r="B1356" s="1245" t="s">
        <v>1197</v>
      </c>
      <c r="C1356" s="1246">
        <v>1.05</v>
      </c>
      <c r="D1356" s="1247" t="s">
        <v>88</v>
      </c>
      <c r="E1356" s="1248">
        <f>E1349</f>
        <v>6621.6739999999991</v>
      </c>
      <c r="F1356" s="1249">
        <f>C1356*E1356</f>
        <v>6952.7576999999992</v>
      </c>
    </row>
    <row r="1357" spans="2:6" ht="14.25" customHeight="1" x14ac:dyDescent="0.2">
      <c r="B1357" s="1250" t="str">
        <f>B1350</f>
        <v xml:space="preserve">K ACERO </v>
      </c>
      <c r="C1357" s="1251">
        <v>3.71</v>
      </c>
      <c r="D1357" s="1252" t="s">
        <v>297</v>
      </c>
      <c r="E1357" s="1251">
        <f>F378</f>
        <v>3245.28</v>
      </c>
      <c r="F1357" s="1253">
        <f>C1357*E1357</f>
        <v>12039.988800000001</v>
      </c>
    </row>
    <row r="1358" spans="2:6" ht="11.25" hidden="1" customHeight="1" x14ac:dyDescent="0.2">
      <c r="B1358" s="1250"/>
      <c r="C1358" s="1251"/>
      <c r="D1358" s="1252"/>
      <c r="E1358" s="1251"/>
      <c r="F1358" s="1253">
        <f>C1358*E1358</f>
        <v>0</v>
      </c>
    </row>
    <row r="1359" spans="2:6" ht="11.85" customHeight="1" x14ac:dyDescent="0.2">
      <c r="B1359" s="1250" t="s">
        <v>813</v>
      </c>
      <c r="C1359" s="1251">
        <f>1/(0.2*0.15)</f>
        <v>33.333333333333336</v>
      </c>
      <c r="D1359" s="1254" t="s">
        <v>41</v>
      </c>
      <c r="E1359" s="1255">
        <v>200</v>
      </c>
      <c r="F1359" s="1253">
        <f>C1359*E1359</f>
        <v>6666.666666666667</v>
      </c>
    </row>
    <row r="1360" spans="2:6" ht="11.85" customHeight="1" thickBot="1" x14ac:dyDescent="0.25">
      <c r="B1360" s="1256"/>
      <c r="C1360" s="1257"/>
      <c r="D1360" s="1257"/>
      <c r="E1360" s="1258" t="s">
        <v>530</v>
      </c>
      <c r="F1360" s="1259">
        <f>ROUND(SUM(F1356:F1359),2)</f>
        <v>25659.41</v>
      </c>
    </row>
    <row r="1361" spans="2:6" ht="11.85" customHeight="1" thickTop="1" x14ac:dyDescent="0.2"/>
    <row r="1364" spans="2:6" ht="15" customHeight="1" thickBot="1" x14ac:dyDescent="0.25">
      <c r="B1364" s="1243" t="s">
        <v>1344</v>
      </c>
      <c r="C1364" s="1244"/>
      <c r="D1364" s="1244"/>
      <c r="E1364" s="1244"/>
      <c r="F1364" s="1244"/>
    </row>
    <row r="1365" spans="2:6" ht="11.85" customHeight="1" thickTop="1" x14ac:dyDescent="0.2">
      <c r="B1365" s="1245" t="s">
        <v>1197</v>
      </c>
      <c r="C1365" s="1246">
        <v>1.05</v>
      </c>
      <c r="D1365" s="1247" t="s">
        <v>88</v>
      </c>
      <c r="E1365" s="1260">
        <f>E1317</f>
        <v>6621.6739999999991</v>
      </c>
      <c r="F1365" s="1249">
        <f>C1365*E1365</f>
        <v>6952.7576999999992</v>
      </c>
    </row>
    <row r="1366" spans="2:6" ht="11.85" customHeight="1" x14ac:dyDescent="0.2">
      <c r="B1366" s="1250" t="s">
        <v>812</v>
      </c>
      <c r="C1366" s="1251">
        <v>3.37</v>
      </c>
      <c r="D1366" s="1252" t="s">
        <v>297</v>
      </c>
      <c r="E1366" s="1251">
        <f>E1357</f>
        <v>3245.28</v>
      </c>
      <c r="F1366" s="1253">
        <f>C1366*E1366</f>
        <v>10936.5936</v>
      </c>
    </row>
    <row r="1367" spans="2:6" ht="11.85" customHeight="1" x14ac:dyDescent="0.2">
      <c r="B1367" s="1250"/>
      <c r="C1367" s="1251"/>
      <c r="D1367" s="1252"/>
      <c r="E1367" s="1251"/>
      <c r="F1367" s="1253">
        <f>C1367*E1367</f>
        <v>0</v>
      </c>
    </row>
    <row r="1368" spans="2:6" ht="11.85" customHeight="1" x14ac:dyDescent="0.2">
      <c r="B1368" s="1250" t="s">
        <v>813</v>
      </c>
      <c r="C1368" s="1251">
        <f>1/(0.2*0.15)</f>
        <v>33.333333333333336</v>
      </c>
      <c r="D1368" s="1254" t="s">
        <v>41</v>
      </c>
      <c r="E1368" s="1255">
        <v>220</v>
      </c>
      <c r="F1368" s="1253">
        <f>C1368*E1368</f>
        <v>7333.3333333333339</v>
      </c>
    </row>
    <row r="1369" spans="2:6" ht="11.85" customHeight="1" thickBot="1" x14ac:dyDescent="0.25">
      <c r="B1369" s="1256"/>
      <c r="C1369" s="1257"/>
      <c r="D1369" s="1257"/>
      <c r="E1369" s="1258" t="s">
        <v>530</v>
      </c>
      <c r="F1369" s="1259">
        <f>ROUND(SUM(F1365:F1368),2)</f>
        <v>25222.68</v>
      </c>
    </row>
    <row r="1370" spans="2:6" ht="11.85" customHeight="1" thickTop="1" x14ac:dyDescent="0.2"/>
    <row r="1373" spans="2:6" ht="14.25" customHeight="1" thickBot="1" x14ac:dyDescent="0.25">
      <c r="B1373" s="1243" t="s">
        <v>1211</v>
      </c>
      <c r="C1373" s="1244"/>
      <c r="D1373" s="1244"/>
      <c r="E1373" s="1244"/>
      <c r="F1373" s="1244"/>
    </row>
    <row r="1374" spans="2:6" ht="11.85" customHeight="1" thickTop="1" x14ac:dyDescent="0.2">
      <c r="B1374" s="1245" t="s">
        <v>1197</v>
      </c>
      <c r="C1374" s="1246">
        <v>1.05</v>
      </c>
      <c r="D1374" s="1247" t="s">
        <v>88</v>
      </c>
      <c r="E1374" s="1260">
        <f>E1365</f>
        <v>6621.6739999999991</v>
      </c>
      <c r="F1374" s="1249">
        <f>C1374*E1374</f>
        <v>6952.7576999999992</v>
      </c>
    </row>
    <row r="1375" spans="2:6" ht="11.85" customHeight="1" x14ac:dyDescent="0.2">
      <c r="B1375" s="1250" t="s">
        <v>812</v>
      </c>
      <c r="C1375" s="1251">
        <v>2.99</v>
      </c>
      <c r="D1375" s="1252" t="s">
        <v>297</v>
      </c>
      <c r="E1375" s="1251">
        <f>E1366</f>
        <v>3245.28</v>
      </c>
      <c r="F1375" s="1253">
        <f>C1375*E1375</f>
        <v>9703.387200000001</v>
      </c>
    </row>
    <row r="1376" spans="2:6" ht="11.85" customHeight="1" x14ac:dyDescent="0.2">
      <c r="B1376" s="1250"/>
      <c r="C1376" s="1251"/>
      <c r="D1376" s="1252"/>
      <c r="E1376" s="1251"/>
      <c r="F1376" s="1253">
        <f>C1376*E1376</f>
        <v>0</v>
      </c>
    </row>
    <row r="1377" spans="2:6" ht="11.85" customHeight="1" x14ac:dyDescent="0.2">
      <c r="B1377" s="1250" t="s">
        <v>813</v>
      </c>
      <c r="C1377" s="1251">
        <f>1/(0.3*0.15)</f>
        <v>22.222222222222221</v>
      </c>
      <c r="D1377" s="1254" t="s">
        <v>41</v>
      </c>
      <c r="E1377" s="1255">
        <v>280</v>
      </c>
      <c r="F1377" s="1253">
        <f>C1377*E1377</f>
        <v>6222.2222222222217</v>
      </c>
    </row>
    <row r="1378" spans="2:6" ht="11.85" customHeight="1" thickBot="1" x14ac:dyDescent="0.25">
      <c r="B1378" s="1256"/>
      <c r="C1378" s="1257"/>
      <c r="D1378" s="1257"/>
      <c r="E1378" s="1258" t="s">
        <v>530</v>
      </c>
      <c r="F1378" s="1259">
        <f>ROUND(SUM(F1374:F1377),2)</f>
        <v>22878.37</v>
      </c>
    </row>
    <row r="1379" spans="2:6" ht="11.85" customHeight="1" thickTop="1" x14ac:dyDescent="0.2"/>
    <row r="1381" spans="2:6" ht="11.85" customHeight="1" thickBot="1" x14ac:dyDescent="0.25">
      <c r="B1381" s="1243" t="s">
        <v>1212</v>
      </c>
      <c r="C1381" s="1244"/>
      <c r="D1381" s="1244"/>
      <c r="E1381" s="1244"/>
      <c r="F1381" s="1244"/>
    </row>
    <row r="1382" spans="2:6" ht="11.85" customHeight="1" thickTop="1" x14ac:dyDescent="0.2">
      <c r="B1382" s="1245" t="s">
        <v>1197</v>
      </c>
      <c r="C1382" s="1246">
        <v>1.05</v>
      </c>
      <c r="D1382" s="1247" t="s">
        <v>88</v>
      </c>
      <c r="E1382" s="1260">
        <f>E1374</f>
        <v>6621.6739999999991</v>
      </c>
      <c r="F1382" s="1249">
        <f>C1382*E1382</f>
        <v>6952.7576999999992</v>
      </c>
    </row>
    <row r="1383" spans="2:6" ht="11.85" customHeight="1" x14ac:dyDescent="0.2">
      <c r="B1383" s="1250" t="s">
        <v>812</v>
      </c>
      <c r="C1383" s="1251">
        <v>2.99</v>
      </c>
      <c r="D1383" s="1252" t="s">
        <v>297</v>
      </c>
      <c r="E1383" s="1251">
        <f>E1375</f>
        <v>3245.28</v>
      </c>
      <c r="F1383" s="1253">
        <f>C1383*E1383</f>
        <v>9703.387200000001</v>
      </c>
    </row>
    <row r="1384" spans="2:6" ht="11.85" customHeight="1" x14ac:dyDescent="0.2">
      <c r="B1384" s="1250"/>
      <c r="C1384" s="1251"/>
      <c r="D1384" s="1252"/>
      <c r="E1384" s="1251"/>
      <c r="F1384" s="1253">
        <f>C1384*E1384</f>
        <v>0</v>
      </c>
    </row>
    <row r="1385" spans="2:6" ht="11.85" customHeight="1" x14ac:dyDescent="0.2">
      <c r="B1385" s="1250" t="s">
        <v>813</v>
      </c>
      <c r="C1385" s="1251">
        <f>1/(0.4*0.15)</f>
        <v>16.666666666666668</v>
      </c>
      <c r="D1385" s="1254" t="s">
        <v>41</v>
      </c>
      <c r="E1385" s="1251">
        <v>280</v>
      </c>
      <c r="F1385" s="1253">
        <f>C1385*E1385</f>
        <v>4666.666666666667</v>
      </c>
    </row>
    <row r="1386" spans="2:6" ht="11.85" customHeight="1" thickBot="1" x14ac:dyDescent="0.25">
      <c r="B1386" s="1256"/>
      <c r="C1386" s="1257"/>
      <c r="D1386" s="1257"/>
      <c r="E1386" s="1258" t="s">
        <v>530</v>
      </c>
      <c r="F1386" s="1259">
        <f>ROUND(SUM(F1382:F1385),2)</f>
        <v>21322.81</v>
      </c>
    </row>
    <row r="1387" spans="2:6" ht="11.85" customHeight="1" thickTop="1" x14ac:dyDescent="0.2"/>
    <row r="1389" spans="2:6" ht="13.5" thickBot="1" x14ac:dyDescent="0.25">
      <c r="B1389" s="1261" t="s">
        <v>1213</v>
      </c>
      <c r="C1389" s="1262"/>
      <c r="D1389" s="1263"/>
      <c r="E1389" s="1262"/>
      <c r="F1389" s="1262"/>
    </row>
    <row r="1390" spans="2:6" ht="13.5" thickTop="1" x14ac:dyDescent="0.2">
      <c r="B1390" s="1264" t="s">
        <v>1197</v>
      </c>
      <c r="C1390" s="1260">
        <v>1.05</v>
      </c>
      <c r="D1390" s="1265" t="s">
        <v>88</v>
      </c>
      <c r="E1390" s="1260">
        <f>E1382</f>
        <v>6621.6739999999991</v>
      </c>
      <c r="F1390" s="1266">
        <f>C1390*E1390</f>
        <v>6952.7576999999992</v>
      </c>
    </row>
    <row r="1391" spans="2:6" ht="12.75" x14ac:dyDescent="0.2">
      <c r="B1391" s="1267" t="s">
        <v>812</v>
      </c>
      <c r="C1391" s="1268">
        <v>3.03</v>
      </c>
      <c r="D1391" s="1269" t="s">
        <v>297</v>
      </c>
      <c r="E1391" s="1268">
        <f>E1383</f>
        <v>3245.28</v>
      </c>
      <c r="F1391" s="1270">
        <f>C1391*E1391</f>
        <v>9833.1983999999993</v>
      </c>
    </row>
    <row r="1392" spans="2:6" ht="11.25" customHeight="1" x14ac:dyDescent="0.2">
      <c r="B1392" s="1271"/>
      <c r="C1392" s="1268"/>
      <c r="D1392" s="1269"/>
      <c r="E1392" s="1268"/>
      <c r="F1392" s="1270">
        <f>C1392*E1392</f>
        <v>0</v>
      </c>
    </row>
    <row r="1393" spans="2:6" ht="12.75" x14ac:dyDescent="0.2">
      <c r="B1393" s="1267" t="s">
        <v>813</v>
      </c>
      <c r="C1393" s="1268">
        <f>1/(0.3*0.15)</f>
        <v>22.222222222222221</v>
      </c>
      <c r="D1393" s="1269" t="s">
        <v>128</v>
      </c>
      <c r="E1393" s="1268">
        <v>350</v>
      </c>
      <c r="F1393" s="1270">
        <f>C1393*E1393</f>
        <v>7777.7777777777774</v>
      </c>
    </row>
    <row r="1394" spans="2:6" ht="11.85" customHeight="1" thickBot="1" x14ac:dyDescent="0.25">
      <c r="B1394" s="1272"/>
      <c r="C1394" s="1273"/>
      <c r="D1394" s="1274"/>
      <c r="E1394" s="1275"/>
      <c r="F1394" s="1276">
        <f>SUM(F1390:F1393)</f>
        <v>24563.733877777777</v>
      </c>
    </row>
    <row r="1395" spans="2:6" ht="11.85" customHeight="1" thickTop="1" x14ac:dyDescent="0.2"/>
    <row r="1397" spans="2:6" ht="11.85" customHeight="1" thickBot="1" x14ac:dyDescent="0.25">
      <c r="B1397" s="1234" t="s">
        <v>1214</v>
      </c>
      <c r="C1397" s="1128"/>
      <c r="D1397" s="1128"/>
      <c r="E1397" s="1128"/>
      <c r="F1397" s="1128"/>
    </row>
    <row r="1398" spans="2:6" ht="11.85" customHeight="1" thickTop="1" x14ac:dyDescent="0.2">
      <c r="B1398" s="935" t="s">
        <v>1210</v>
      </c>
      <c r="C1398" s="1235">
        <v>1.05</v>
      </c>
      <c r="D1398" s="1236" t="s">
        <v>88</v>
      </c>
      <c r="E1398" s="1235">
        <f>E1390</f>
        <v>6621.6739999999991</v>
      </c>
      <c r="F1398" s="1237">
        <f>C1398*E1398</f>
        <v>6952.7576999999992</v>
      </c>
    </row>
    <row r="1399" spans="2:6" ht="11.85" customHeight="1" x14ac:dyDescent="0.2">
      <c r="B1399" s="937" t="s">
        <v>812</v>
      </c>
      <c r="C1399" s="1238">
        <v>1.34</v>
      </c>
      <c r="D1399" s="1239" t="s">
        <v>297</v>
      </c>
      <c r="E1399" s="1238">
        <f>E1391</f>
        <v>3245.28</v>
      </c>
      <c r="F1399" s="1240">
        <f>C1399*E1399</f>
        <v>4348.6752000000006</v>
      </c>
    </row>
    <row r="1400" spans="2:6" ht="11.85" customHeight="1" x14ac:dyDescent="0.2">
      <c r="B1400" s="1267" t="s">
        <v>813</v>
      </c>
      <c r="C1400" s="1277">
        <f>1/0.12</f>
        <v>8.3333333333333339</v>
      </c>
      <c r="D1400" s="1278" t="s">
        <v>128</v>
      </c>
      <c r="E1400" s="1277">
        <v>250</v>
      </c>
      <c r="F1400" s="1240">
        <f>C1400*E1400</f>
        <v>2083.3333333333335</v>
      </c>
    </row>
    <row r="1401" spans="2:6" ht="11.85" customHeight="1" thickBot="1" x14ac:dyDescent="0.25">
      <c r="B1401" s="947"/>
      <c r="C1401" s="1241"/>
      <c r="D1401" s="1241"/>
      <c r="E1401" s="1242"/>
      <c r="F1401" s="1140">
        <f>ROUND(SUM(F1398:F1400),2)</f>
        <v>13384.77</v>
      </c>
    </row>
    <row r="1402" spans="2:6" ht="11.85" customHeight="1" thickTop="1" x14ac:dyDescent="0.2"/>
    <row r="1405" spans="2:6" ht="11.85" customHeight="1" x14ac:dyDescent="0.2">
      <c r="B1405" s="1234" t="s">
        <v>1215</v>
      </c>
      <c r="C1405" s="1279"/>
      <c r="D1405" s="1115"/>
      <c r="E1405" s="1115"/>
      <c r="F1405" s="1115"/>
    </row>
    <row r="1406" spans="2:6" ht="11.85" customHeight="1" x14ac:dyDescent="0.2">
      <c r="B1406" s="937" t="s">
        <v>1216</v>
      </c>
      <c r="C1406" s="1280">
        <f>+((0.7+0.5)*2)*0.4</f>
        <v>0.96</v>
      </c>
      <c r="D1406" s="1281" t="s">
        <v>124</v>
      </c>
      <c r="E1406" s="1282">
        <f>F445</f>
        <v>963.56999999999994</v>
      </c>
      <c r="F1406" s="1283">
        <f t="shared" ref="F1406:F1413" si="35">C1406*E1406</f>
        <v>925.02719999999988</v>
      </c>
    </row>
    <row r="1407" spans="2:6" ht="11.85" customHeight="1" x14ac:dyDescent="0.2">
      <c r="B1407" s="937" t="s">
        <v>1217</v>
      </c>
      <c r="C1407" s="1280">
        <f>0.7*0.7*0.1</f>
        <v>4.8999999999999995E-2</v>
      </c>
      <c r="D1407" s="1284" t="s">
        <v>88</v>
      </c>
      <c r="E1407" s="1282">
        <v>12373.124076</v>
      </c>
      <c r="F1407" s="1283">
        <f t="shared" si="35"/>
        <v>606.28307972399989</v>
      </c>
    </row>
    <row r="1408" spans="2:6" ht="11.85" customHeight="1" x14ac:dyDescent="0.2">
      <c r="B1408" s="937" t="s">
        <v>1218</v>
      </c>
      <c r="C1408" s="1280">
        <v>1</v>
      </c>
      <c r="D1408" s="1284" t="s">
        <v>8</v>
      </c>
      <c r="E1408" s="1282">
        <v>1005.28</v>
      </c>
      <c r="F1408" s="1283">
        <f t="shared" si="35"/>
        <v>1005.28</v>
      </c>
    </row>
    <row r="1409" spans="1:13" ht="11.85" customHeight="1" x14ac:dyDescent="0.2">
      <c r="B1409" s="937" t="s">
        <v>645</v>
      </c>
      <c r="C1409" s="1280">
        <f>2*0.5</f>
        <v>1</v>
      </c>
      <c r="D1409" s="1281" t="s">
        <v>124</v>
      </c>
      <c r="E1409" s="1282">
        <v>333.68</v>
      </c>
      <c r="F1409" s="1283">
        <f t="shared" si="35"/>
        <v>333.68</v>
      </c>
    </row>
    <row r="1410" spans="1:13" ht="11.85" customHeight="1" x14ac:dyDescent="0.2">
      <c r="B1410" s="937" t="s">
        <v>1219</v>
      </c>
      <c r="C1410" s="1280">
        <v>1</v>
      </c>
      <c r="D1410" s="1284" t="s">
        <v>8</v>
      </c>
      <c r="E1410" s="1285">
        <v>150</v>
      </c>
      <c r="F1410" s="1286">
        <f t="shared" si="35"/>
        <v>150</v>
      </c>
    </row>
    <row r="1411" spans="1:13" ht="11.85" customHeight="1" x14ac:dyDescent="0.2">
      <c r="B1411" s="937" t="s">
        <v>1220</v>
      </c>
      <c r="C1411" s="1280">
        <v>1</v>
      </c>
      <c r="D1411" s="1284" t="s">
        <v>8</v>
      </c>
      <c r="E1411" s="1285">
        <v>85</v>
      </c>
      <c r="F1411" s="1286">
        <f>C1411*E1411</f>
        <v>85</v>
      </c>
    </row>
    <row r="1412" spans="1:13" ht="11.85" customHeight="1" x14ac:dyDescent="0.2">
      <c r="B1412" s="937" t="s">
        <v>1221</v>
      </c>
      <c r="C1412" s="1280">
        <f>0.7*0.7*0.6</f>
        <v>0.29399999999999993</v>
      </c>
      <c r="D1412" s="1281" t="s">
        <v>88</v>
      </c>
      <c r="E1412" s="1285">
        <v>334.5</v>
      </c>
      <c r="F1412" s="1286">
        <f t="shared" si="35"/>
        <v>98.342999999999975</v>
      </c>
    </row>
    <row r="1413" spans="1:13" ht="11.85" customHeight="1" x14ac:dyDescent="0.2">
      <c r="B1413" s="937" t="s">
        <v>1222</v>
      </c>
      <c r="C1413" s="1280">
        <f>+C1412*1.2</f>
        <v>0.35279999999999989</v>
      </c>
      <c r="D1413" s="1281" t="s">
        <v>88</v>
      </c>
      <c r="E1413" s="1285">
        <v>210</v>
      </c>
      <c r="F1413" s="1286">
        <f t="shared" si="35"/>
        <v>74.08799999999998</v>
      </c>
    </row>
    <row r="1414" spans="1:13" ht="11.85" customHeight="1" thickBot="1" x14ac:dyDescent="0.25">
      <c r="B1414" s="947"/>
      <c r="C1414" s="1287"/>
      <c r="D1414" s="1288" t="s">
        <v>657</v>
      </c>
      <c r="E1414" s="1289" t="s">
        <v>658</v>
      </c>
      <c r="F1414" s="1290">
        <f>ROUND(SUM(F1406:F1413),2)</f>
        <v>3277.7</v>
      </c>
    </row>
    <row r="1415" spans="1:13" ht="11.85" customHeight="1" thickTop="1" x14ac:dyDescent="0.2"/>
    <row r="1416" spans="1:13" s="1291" customFormat="1" ht="13.5" thickBot="1" x14ac:dyDescent="0.25">
      <c r="B1416" s="1234" t="s">
        <v>1223</v>
      </c>
      <c r="C1416" s="1279"/>
      <c r="D1416" s="1115"/>
      <c r="E1416" s="1115"/>
      <c r="F1416" s="1115"/>
      <c r="G1416" s="1292"/>
    </row>
    <row r="1417" spans="1:13" s="1291" customFormat="1" ht="13.5" thickTop="1" x14ac:dyDescent="0.2">
      <c r="B1417" s="935" t="s">
        <v>1224</v>
      </c>
      <c r="C1417" s="1293">
        <f>1.9*1.1*0.2</f>
        <v>0.41799999999999998</v>
      </c>
      <c r="D1417" s="1294" t="s">
        <v>88</v>
      </c>
      <c r="E1417" s="1295">
        <v>8924.9090759999999</v>
      </c>
      <c r="F1417" s="1296">
        <f t="shared" ref="F1417:F1424" si="36">C1417*E1417</f>
        <v>3730.6119937679996</v>
      </c>
      <c r="G1417" s="1292"/>
    </row>
    <row r="1418" spans="1:13" s="1291" customFormat="1" ht="12.75" x14ac:dyDescent="0.2">
      <c r="B1418" s="937" t="s">
        <v>1225</v>
      </c>
      <c r="C1418" s="1280">
        <f>+((1.9*1.7)-(0.6*0.6))*0.07</f>
        <v>0.20090000000000002</v>
      </c>
      <c r="D1418" s="1284" t="s">
        <v>88</v>
      </c>
      <c r="E1418" s="1282">
        <v>17961.034076</v>
      </c>
      <c r="F1418" s="1297">
        <f t="shared" si="36"/>
        <v>3608.3717458684005</v>
      </c>
      <c r="G1418" s="1292"/>
    </row>
    <row r="1419" spans="1:13" s="1291" customFormat="1" ht="15" x14ac:dyDescent="0.25">
      <c r="B1419" s="937" t="s">
        <v>1226</v>
      </c>
      <c r="C1419" s="1280">
        <f>+((1.9+0.8)*2)*1.5</f>
        <v>8.1000000000000014</v>
      </c>
      <c r="D1419" s="1284" t="s">
        <v>124</v>
      </c>
      <c r="E1419" s="1282">
        <v>1510.0527648000002</v>
      </c>
      <c r="F1419" s="1297">
        <f t="shared" si="36"/>
        <v>12231.427394880004</v>
      </c>
      <c r="G1419" s="1292"/>
      <c r="H1419" s="1298"/>
      <c r="I1419" s="1298"/>
      <c r="J1419" s="1298"/>
      <c r="K1419" s="1298"/>
      <c r="L1419" s="1299"/>
      <c r="M1419" s="1298"/>
    </row>
    <row r="1420" spans="1:13" s="1291" customFormat="1" ht="15" x14ac:dyDescent="0.25">
      <c r="A1420" s="1300"/>
      <c r="B1420" s="937" t="s">
        <v>645</v>
      </c>
      <c r="C1420" s="1280">
        <f>+((1.6+0.8)*2)*1.5</f>
        <v>7.2000000000000011</v>
      </c>
      <c r="D1420" s="1284" t="s">
        <v>124</v>
      </c>
      <c r="E1420" s="1282">
        <v>333.68</v>
      </c>
      <c r="F1420" s="1297">
        <f t="shared" si="36"/>
        <v>2402.4960000000005</v>
      </c>
      <c r="G1420" s="1292"/>
      <c r="H1420" s="1298"/>
      <c r="I1420" s="1298"/>
      <c r="J1420" s="1298"/>
      <c r="K1420" s="1298"/>
      <c r="L1420" s="1299"/>
      <c r="M1420" s="1298"/>
    </row>
    <row r="1421" spans="1:13" s="1291" customFormat="1" ht="12.75" x14ac:dyDescent="0.2">
      <c r="A1421" s="1300"/>
      <c r="B1421" s="937" t="s">
        <v>1227</v>
      </c>
      <c r="C1421" s="1280">
        <f>1.9*1.1*1.77</f>
        <v>3.6992999999999996</v>
      </c>
      <c r="D1421" s="1284" t="s">
        <v>88</v>
      </c>
      <c r="E1421" s="1285">
        <v>334.5</v>
      </c>
      <c r="F1421" s="1297">
        <f t="shared" si="36"/>
        <v>1237.4158499999999</v>
      </c>
      <c r="G1421" s="1292"/>
      <c r="H1421" s="1301"/>
      <c r="I1421" s="1301"/>
      <c r="J1421" s="1301"/>
      <c r="K1421" s="1301"/>
      <c r="L1421" s="1301"/>
      <c r="M1421" s="1301"/>
    </row>
    <row r="1422" spans="1:13" s="1291" customFormat="1" ht="15" x14ac:dyDescent="0.25">
      <c r="A1422" s="1300"/>
      <c r="B1422" s="937" t="s">
        <v>1228</v>
      </c>
      <c r="C1422" s="1280">
        <f>+C1421*1.2</f>
        <v>4.4391599999999993</v>
      </c>
      <c r="D1422" s="1284" t="s">
        <v>88</v>
      </c>
      <c r="E1422" s="1285">
        <v>210</v>
      </c>
      <c r="F1422" s="1297">
        <f t="shared" si="36"/>
        <v>932.22359999999981</v>
      </c>
      <c r="G1422" s="1292"/>
      <c r="H1422" s="1298"/>
      <c r="I1422" s="1298"/>
      <c r="J1422" s="1298"/>
      <c r="K1422" s="1298"/>
      <c r="L1422" s="1299"/>
      <c r="M1422" s="1298"/>
    </row>
    <row r="1423" spans="1:13" s="1291" customFormat="1" ht="15" x14ac:dyDescent="0.25">
      <c r="A1423" s="1300"/>
      <c r="B1423" s="937" t="s">
        <v>1229</v>
      </c>
      <c r="C1423" s="1280">
        <v>1</v>
      </c>
      <c r="D1423" s="1284" t="s">
        <v>8</v>
      </c>
      <c r="E1423" s="1285">
        <v>500</v>
      </c>
      <c r="F1423" s="1297">
        <f t="shared" si="36"/>
        <v>500</v>
      </c>
      <c r="G1423" s="1292"/>
      <c r="H1423" s="1298"/>
      <c r="I1423" s="1298"/>
      <c r="J1423" s="1298"/>
      <c r="K1423" s="1298"/>
      <c r="L1423" s="1299"/>
      <c r="M1423" s="1298"/>
    </row>
    <row r="1424" spans="1:13" s="1291" customFormat="1" ht="12.75" x14ac:dyDescent="0.2">
      <c r="A1424" s="1300"/>
      <c r="B1424" s="937" t="s">
        <v>1230</v>
      </c>
      <c r="C1424" s="1280">
        <v>1</v>
      </c>
      <c r="D1424" s="1284" t="s">
        <v>8</v>
      </c>
      <c r="E1424" s="1285">
        <v>6500</v>
      </c>
      <c r="F1424" s="1297">
        <f t="shared" si="36"/>
        <v>6500</v>
      </c>
      <c r="G1424" s="1292"/>
    </row>
    <row r="1425" spans="1:13" s="1298" customFormat="1" ht="15.75" thickBot="1" x14ac:dyDescent="0.3">
      <c r="A1425" s="1291"/>
      <c r="B1425" s="947"/>
      <c r="C1425" s="1287"/>
      <c r="D1425" s="1288" t="s">
        <v>657</v>
      </c>
      <c r="E1425" s="1289" t="s">
        <v>658</v>
      </c>
      <c r="F1425" s="1302">
        <f>ROUND(SUM(F1417:F1424),2)</f>
        <v>31142.55</v>
      </c>
      <c r="G1425" s="1292"/>
      <c r="H1425" s="1291"/>
      <c r="I1425" s="1291"/>
      <c r="J1425" s="1291"/>
      <c r="K1425" s="1291"/>
      <c r="L1425" s="1291"/>
      <c r="M1425" s="1291"/>
    </row>
    <row r="1426" spans="1:13" s="1291" customFormat="1" ht="13.5" thickTop="1" x14ac:dyDescent="0.2">
      <c r="B1426" s="1115"/>
      <c r="C1426" s="1279"/>
      <c r="D1426" s="1115"/>
      <c r="E1426" s="1115"/>
      <c r="F1426" s="1115"/>
      <c r="G1426" s="1292"/>
    </row>
    <row r="1428" spans="1:13" s="1291" customFormat="1" ht="12.75" x14ac:dyDescent="0.2">
      <c r="B1428" s="1303" t="s">
        <v>1231</v>
      </c>
      <c r="C1428" s="1304"/>
      <c r="D1428" s="1305"/>
      <c r="E1428" s="1306"/>
      <c r="F1428" s="1307"/>
      <c r="G1428" s="1292"/>
    </row>
    <row r="1429" spans="1:13" s="1291" customFormat="1" ht="9" customHeight="1" x14ac:dyDescent="0.2">
      <c r="B1429" s="1308" t="s">
        <v>1232</v>
      </c>
      <c r="C1429" s="1309">
        <v>0.17</v>
      </c>
      <c r="D1429" s="1310" t="s">
        <v>1233</v>
      </c>
      <c r="E1429" s="1311">
        <v>364.74</v>
      </c>
      <c r="F1429" s="1312">
        <v>62.01</v>
      </c>
      <c r="G1429" s="1292"/>
    </row>
    <row r="1430" spans="1:13" s="1291" customFormat="1" ht="12.75" x14ac:dyDescent="0.2">
      <c r="B1430" s="1308" t="s">
        <v>1234</v>
      </c>
      <c r="C1430" s="1309">
        <v>1</v>
      </c>
      <c r="D1430" s="1310" t="s">
        <v>1233</v>
      </c>
      <c r="E1430" s="1311">
        <v>61.66</v>
      </c>
      <c r="F1430" s="1312">
        <v>61.66</v>
      </c>
      <c r="G1430" s="1292"/>
    </row>
    <row r="1431" spans="1:13" s="1291" customFormat="1" ht="12.75" x14ac:dyDescent="0.2">
      <c r="B1431" s="1308" t="s">
        <v>1235</v>
      </c>
      <c r="C1431" s="1309">
        <v>1</v>
      </c>
      <c r="D1431" s="1310" t="s">
        <v>1233</v>
      </c>
      <c r="E1431" s="1311">
        <v>18.2</v>
      </c>
      <c r="F1431" s="1312">
        <v>18.2</v>
      </c>
      <c r="G1431" s="1292"/>
    </row>
    <row r="1432" spans="1:13" s="1291" customFormat="1" ht="12.75" x14ac:dyDescent="0.2">
      <c r="B1432" s="1308" t="s">
        <v>1236</v>
      </c>
      <c r="C1432" s="1309">
        <v>1</v>
      </c>
      <c r="D1432" s="1310" t="s">
        <v>1233</v>
      </c>
      <c r="E1432" s="1311">
        <v>20.92</v>
      </c>
      <c r="F1432" s="1312">
        <v>20.92</v>
      </c>
      <c r="G1432" s="1292"/>
    </row>
    <row r="1433" spans="1:13" s="1291" customFormat="1" ht="12.75" x14ac:dyDescent="0.2">
      <c r="B1433" s="1308" t="s">
        <v>1237</v>
      </c>
      <c r="C1433" s="1309">
        <v>0.24</v>
      </c>
      <c r="D1433" s="1310" t="s">
        <v>1233</v>
      </c>
      <c r="E1433" s="1311">
        <v>57.02</v>
      </c>
      <c r="F1433" s="1312">
        <v>13.68</v>
      </c>
      <c r="G1433" s="1292"/>
    </row>
    <row r="1434" spans="1:13" s="1291" customFormat="1" ht="12.75" x14ac:dyDescent="0.2">
      <c r="B1434" s="1308" t="s">
        <v>1238</v>
      </c>
      <c r="C1434" s="1309">
        <v>1</v>
      </c>
      <c r="D1434" s="1310" t="s">
        <v>1233</v>
      </c>
      <c r="E1434" s="1311">
        <v>43.93</v>
      </c>
      <c r="F1434" s="1312">
        <v>43.93</v>
      </c>
      <c r="G1434" s="1292"/>
    </row>
    <row r="1435" spans="1:13" s="1291" customFormat="1" ht="12.75" x14ac:dyDescent="0.2">
      <c r="B1435" s="1308" t="s">
        <v>1239</v>
      </c>
      <c r="C1435" s="1309">
        <v>0.51</v>
      </c>
      <c r="D1435" s="1310" t="s">
        <v>1233</v>
      </c>
      <c r="E1435" s="1311">
        <v>478.08</v>
      </c>
      <c r="F1435" s="1312">
        <v>243.82</v>
      </c>
      <c r="G1435" s="1292"/>
    </row>
    <row r="1436" spans="1:13" s="1291" customFormat="1" ht="12.75" x14ac:dyDescent="0.2">
      <c r="B1436" s="1308" t="s">
        <v>1240</v>
      </c>
      <c r="C1436" s="1309">
        <v>2</v>
      </c>
      <c r="D1436" s="1310" t="s">
        <v>1233</v>
      </c>
      <c r="E1436" s="1311">
        <v>25.96</v>
      </c>
      <c r="F1436" s="1312">
        <v>51.92</v>
      </c>
      <c r="G1436" s="1292"/>
    </row>
    <row r="1437" spans="1:13" s="1291" customFormat="1" ht="12.75" x14ac:dyDescent="0.2">
      <c r="B1437" s="1308" t="s">
        <v>1241</v>
      </c>
      <c r="C1437" s="1309">
        <v>2</v>
      </c>
      <c r="D1437" s="1310" t="s">
        <v>1233</v>
      </c>
      <c r="E1437" s="1311">
        <v>85</v>
      </c>
      <c r="F1437" s="1312">
        <v>170</v>
      </c>
      <c r="G1437" s="1292"/>
    </row>
    <row r="1438" spans="1:13" s="1291" customFormat="1" ht="12.75" x14ac:dyDescent="0.2">
      <c r="B1438" s="1308" t="s">
        <v>1242</v>
      </c>
      <c r="C1438" s="1309">
        <v>2</v>
      </c>
      <c r="D1438" s="1310" t="s">
        <v>1233</v>
      </c>
      <c r="E1438" s="1311">
        <v>26.46</v>
      </c>
      <c r="F1438" s="1312">
        <v>52.92</v>
      </c>
      <c r="G1438" s="1292"/>
    </row>
    <row r="1439" spans="1:13" s="1291" customFormat="1" ht="12.75" x14ac:dyDescent="0.2">
      <c r="B1439" s="1308" t="s">
        <v>1243</v>
      </c>
      <c r="C1439" s="1309">
        <v>0.05</v>
      </c>
      <c r="D1439" s="1310" t="s">
        <v>1244</v>
      </c>
      <c r="E1439" s="1311">
        <v>729.24</v>
      </c>
      <c r="F1439" s="1312">
        <v>36.46</v>
      </c>
      <c r="G1439" s="1292"/>
    </row>
    <row r="1440" spans="1:13" s="1291" customFormat="1" ht="12.75" x14ac:dyDescent="0.2">
      <c r="B1440" s="1308" t="s">
        <v>1245</v>
      </c>
      <c r="C1440" s="1309">
        <v>1</v>
      </c>
      <c r="D1440" s="1310" t="s">
        <v>1233</v>
      </c>
      <c r="E1440" s="1311">
        <v>103.55</v>
      </c>
      <c r="F1440" s="1312">
        <v>103.55</v>
      </c>
      <c r="G1440" s="1292"/>
    </row>
    <row r="1441" spans="2:7" s="1291" customFormat="1" ht="12.75" x14ac:dyDescent="0.2">
      <c r="B1441" s="1308" t="s">
        <v>1246</v>
      </c>
      <c r="C1441" s="1309">
        <v>1</v>
      </c>
      <c r="D1441" s="1310" t="s">
        <v>1233</v>
      </c>
      <c r="E1441" s="1311">
        <v>788.54</v>
      </c>
      <c r="F1441" s="1312">
        <v>788.54</v>
      </c>
      <c r="G1441" s="1292"/>
    </row>
    <row r="1442" spans="2:7" s="1291" customFormat="1" ht="12.75" x14ac:dyDescent="0.2">
      <c r="B1442" s="1308" t="s">
        <v>1247</v>
      </c>
      <c r="C1442" s="1309">
        <v>1</v>
      </c>
      <c r="D1442" s="1310" t="s">
        <v>1233</v>
      </c>
      <c r="E1442" s="1311">
        <v>43.06</v>
      </c>
      <c r="F1442" s="1312">
        <v>43.06</v>
      </c>
      <c r="G1442" s="1292"/>
    </row>
    <row r="1443" spans="2:7" s="1291" customFormat="1" ht="12.75" x14ac:dyDescent="0.2">
      <c r="B1443" s="1308" t="s">
        <v>1248</v>
      </c>
      <c r="C1443" s="1309">
        <v>1</v>
      </c>
      <c r="D1443" s="1310" t="s">
        <v>1233</v>
      </c>
      <c r="E1443" s="1311">
        <v>70.09</v>
      </c>
      <c r="F1443" s="1312">
        <v>70.09</v>
      </c>
      <c r="G1443" s="1292"/>
    </row>
    <row r="1444" spans="2:7" s="1291" customFormat="1" ht="12.75" x14ac:dyDescent="0.2">
      <c r="B1444" s="1308" t="s">
        <v>1249</v>
      </c>
      <c r="C1444" s="1309">
        <v>0.03</v>
      </c>
      <c r="D1444" s="1310" t="s">
        <v>1250</v>
      </c>
      <c r="E1444" s="1311">
        <v>672.6</v>
      </c>
      <c r="F1444" s="1312">
        <v>20.18</v>
      </c>
      <c r="G1444" s="1292"/>
    </row>
    <row r="1445" spans="2:7" s="1291" customFormat="1" ht="12.75" x14ac:dyDescent="0.2">
      <c r="B1445" s="1308" t="s">
        <v>1251</v>
      </c>
      <c r="C1445" s="1309">
        <v>1</v>
      </c>
      <c r="D1445" s="1310" t="s">
        <v>1233</v>
      </c>
      <c r="E1445" s="1311">
        <v>8.9600000000000009</v>
      </c>
      <c r="F1445" s="1312">
        <v>8.9600000000000009</v>
      </c>
      <c r="G1445" s="1292"/>
    </row>
    <row r="1446" spans="2:7" s="1291" customFormat="1" ht="12.75" x14ac:dyDescent="0.2">
      <c r="B1446" s="1308" t="s">
        <v>1252</v>
      </c>
      <c r="C1446" s="1309">
        <v>0.12</v>
      </c>
      <c r="D1446" s="1310" t="s">
        <v>1253</v>
      </c>
      <c r="E1446" s="1311">
        <v>658.54</v>
      </c>
      <c r="F1446" s="1312">
        <v>79.02</v>
      </c>
      <c r="G1446" s="1292"/>
    </row>
    <row r="1447" spans="2:7" s="1291" customFormat="1" ht="12.75" x14ac:dyDescent="0.2">
      <c r="B1447" s="1308" t="s">
        <v>1254</v>
      </c>
      <c r="C1447" s="1309">
        <v>1</v>
      </c>
      <c r="D1447" s="1310" t="s">
        <v>1233</v>
      </c>
      <c r="E1447" s="1311">
        <v>3050.76</v>
      </c>
      <c r="F1447" s="1312"/>
      <c r="G1447" s="1292"/>
    </row>
    <row r="1448" spans="2:7" s="1291" customFormat="1" ht="12.75" x14ac:dyDescent="0.2">
      <c r="B1448" s="1313"/>
      <c r="C1448" s="1279"/>
      <c r="D1448" s="1313"/>
      <c r="E1448" s="1314"/>
      <c r="F1448" s="1315">
        <f>SUM(F1429:F1447)</f>
        <v>1888.9199999999998</v>
      </c>
      <c r="G1448" s="1292"/>
    </row>
    <row r="1450" spans="2:7" s="1291" customFormat="1" ht="12.75" x14ac:dyDescent="0.2">
      <c r="B1450" s="1316" t="s">
        <v>1255</v>
      </c>
      <c r="C1450" s="1317"/>
      <c r="D1450" s="1317"/>
      <c r="E1450" s="1317"/>
      <c r="F1450" s="1318"/>
      <c r="G1450" s="1292"/>
    </row>
    <row r="1451" spans="2:7" s="1291" customFormat="1" ht="12.75" x14ac:dyDescent="0.2">
      <c r="B1451" s="1319" t="s">
        <v>1256</v>
      </c>
      <c r="C1451" s="1320">
        <v>0.17</v>
      </c>
      <c r="D1451" s="1310" t="s">
        <v>1233</v>
      </c>
      <c r="E1451" s="1321">
        <v>364.74</v>
      </c>
      <c r="F1451" s="1322">
        <f t="shared" ref="F1451:F1468" si="37">+C1451*E1451</f>
        <v>62.005800000000008</v>
      </c>
      <c r="G1451" s="1292"/>
    </row>
    <row r="1452" spans="2:7" s="1291" customFormat="1" ht="12.75" x14ac:dyDescent="0.2">
      <c r="B1452" s="1319" t="s">
        <v>1257</v>
      </c>
      <c r="C1452" s="1320">
        <v>0.11</v>
      </c>
      <c r="D1452" s="1310" t="s">
        <v>1233</v>
      </c>
      <c r="E1452" s="1321">
        <v>129.61000000000001</v>
      </c>
      <c r="F1452" s="1322">
        <f t="shared" si="37"/>
        <v>14.257100000000001</v>
      </c>
      <c r="G1452" s="1292"/>
    </row>
    <row r="1453" spans="2:7" s="1291" customFormat="1" ht="12.75" x14ac:dyDescent="0.2">
      <c r="B1453" s="1319" t="s">
        <v>1234</v>
      </c>
      <c r="C1453" s="1320">
        <v>1</v>
      </c>
      <c r="D1453" s="1310" t="s">
        <v>1233</v>
      </c>
      <c r="E1453" s="1321">
        <v>61.66</v>
      </c>
      <c r="F1453" s="1322">
        <f t="shared" si="37"/>
        <v>61.66</v>
      </c>
      <c r="G1453" s="1292"/>
    </row>
    <row r="1454" spans="2:7" s="1291" customFormat="1" ht="12.75" x14ac:dyDescent="0.2">
      <c r="B1454" s="1319" t="s">
        <v>1235</v>
      </c>
      <c r="C1454" s="1320">
        <v>1</v>
      </c>
      <c r="D1454" s="1310" t="s">
        <v>1233</v>
      </c>
      <c r="E1454" s="1321">
        <v>18.2</v>
      </c>
      <c r="F1454" s="1322">
        <f t="shared" si="37"/>
        <v>18.2</v>
      </c>
      <c r="G1454" s="1292"/>
    </row>
    <row r="1455" spans="2:7" s="1291" customFormat="1" ht="12.75" x14ac:dyDescent="0.2">
      <c r="B1455" s="1319" t="s">
        <v>1236</v>
      </c>
      <c r="C1455" s="1320">
        <v>1</v>
      </c>
      <c r="D1455" s="1310" t="s">
        <v>1233</v>
      </c>
      <c r="E1455" s="1321">
        <v>20.92</v>
      </c>
      <c r="F1455" s="1322">
        <f t="shared" si="37"/>
        <v>20.92</v>
      </c>
      <c r="G1455" s="1292"/>
    </row>
    <row r="1456" spans="2:7" s="1291" customFormat="1" ht="12.75" x14ac:dyDescent="0.2">
      <c r="B1456" s="1319" t="s">
        <v>1247</v>
      </c>
      <c r="C1456" s="1320">
        <v>1</v>
      </c>
      <c r="D1456" s="1310" t="s">
        <v>1233</v>
      </c>
      <c r="E1456" s="1321">
        <v>43.06</v>
      </c>
      <c r="F1456" s="1322">
        <f t="shared" si="37"/>
        <v>43.06</v>
      </c>
      <c r="G1456" s="1292"/>
    </row>
    <row r="1457" spans="2:7" s="1291" customFormat="1" ht="12.75" x14ac:dyDescent="0.2">
      <c r="B1457" s="1319" t="s">
        <v>1237</v>
      </c>
      <c r="C1457" s="1320">
        <v>0.24</v>
      </c>
      <c r="D1457" s="1310" t="s">
        <v>1233</v>
      </c>
      <c r="E1457" s="1321">
        <v>57.02</v>
      </c>
      <c r="F1457" s="1322">
        <f t="shared" si="37"/>
        <v>13.684800000000001</v>
      </c>
      <c r="G1457" s="1292"/>
    </row>
    <row r="1458" spans="2:7" s="1291" customFormat="1" ht="12.75" x14ac:dyDescent="0.2">
      <c r="B1458" s="1319" t="s">
        <v>1238</v>
      </c>
      <c r="C1458" s="1320">
        <v>1</v>
      </c>
      <c r="D1458" s="1310" t="s">
        <v>1233</v>
      </c>
      <c r="E1458" s="1321">
        <v>43.93</v>
      </c>
      <c r="F1458" s="1322">
        <f t="shared" si="37"/>
        <v>43.93</v>
      </c>
      <c r="G1458" s="1292"/>
    </row>
    <row r="1459" spans="2:7" s="1291" customFormat="1" ht="12.75" x14ac:dyDescent="0.2">
      <c r="B1459" s="1319" t="s">
        <v>1239</v>
      </c>
      <c r="C1459" s="1320">
        <v>0.37</v>
      </c>
      <c r="D1459" s="1310" t="s">
        <v>1233</v>
      </c>
      <c r="E1459" s="1321">
        <v>478.08</v>
      </c>
      <c r="F1459" s="1322">
        <f t="shared" si="37"/>
        <v>176.8896</v>
      </c>
      <c r="G1459" s="1292"/>
    </row>
    <row r="1460" spans="2:7" s="1291" customFormat="1" ht="12.75" x14ac:dyDescent="0.2">
      <c r="B1460" s="1319" t="s">
        <v>1240</v>
      </c>
      <c r="C1460" s="1320">
        <v>2</v>
      </c>
      <c r="D1460" s="1310" t="s">
        <v>1233</v>
      </c>
      <c r="E1460" s="1321">
        <v>25.96</v>
      </c>
      <c r="F1460" s="1322">
        <f t="shared" si="37"/>
        <v>51.92</v>
      </c>
      <c r="G1460" s="1292"/>
    </row>
    <row r="1461" spans="2:7" s="1291" customFormat="1" ht="12.75" x14ac:dyDescent="0.2">
      <c r="B1461" s="1319" t="s">
        <v>1258</v>
      </c>
      <c r="C1461" s="1320">
        <v>0.04</v>
      </c>
      <c r="D1461" s="1310" t="s">
        <v>1244</v>
      </c>
      <c r="E1461" s="1321">
        <v>729.24</v>
      </c>
      <c r="F1461" s="1322">
        <f t="shared" si="37"/>
        <v>29.169600000000003</v>
      </c>
      <c r="G1461" s="1292"/>
    </row>
    <row r="1462" spans="2:7" s="1291" customFormat="1" ht="12.75" x14ac:dyDescent="0.2">
      <c r="B1462" s="1319" t="s">
        <v>1259</v>
      </c>
      <c r="C1462" s="1320">
        <v>1</v>
      </c>
      <c r="D1462" s="1310" t="s">
        <v>1233</v>
      </c>
      <c r="E1462" s="1321">
        <v>2603.63</v>
      </c>
      <c r="F1462" s="1322">
        <f t="shared" si="37"/>
        <v>2603.63</v>
      </c>
      <c r="G1462" s="1292"/>
    </row>
    <row r="1463" spans="2:7" s="1291" customFormat="1" ht="12.75" x14ac:dyDescent="0.2">
      <c r="B1463" s="1319" t="s">
        <v>1260</v>
      </c>
      <c r="C1463" s="1320">
        <v>1</v>
      </c>
      <c r="D1463" s="1310" t="s">
        <v>1233</v>
      </c>
      <c r="E1463" s="1321">
        <v>88.5</v>
      </c>
      <c r="F1463" s="1322">
        <f t="shared" si="37"/>
        <v>88.5</v>
      </c>
      <c r="G1463" s="1292"/>
    </row>
    <row r="1464" spans="2:7" s="1291" customFormat="1" ht="12.75" x14ac:dyDescent="0.2">
      <c r="B1464" s="1319" t="s">
        <v>1261</v>
      </c>
      <c r="C1464" s="1320">
        <v>1</v>
      </c>
      <c r="D1464" s="1310" t="s">
        <v>1233</v>
      </c>
      <c r="E1464" s="1321">
        <v>168.5</v>
      </c>
      <c r="F1464" s="1322">
        <f t="shared" si="37"/>
        <v>168.5</v>
      </c>
      <c r="G1464" s="1292"/>
    </row>
    <row r="1465" spans="2:7" s="1291" customFormat="1" ht="12.75" x14ac:dyDescent="0.2">
      <c r="B1465" s="1319" t="s">
        <v>1262</v>
      </c>
      <c r="C1465" s="1320">
        <v>1</v>
      </c>
      <c r="D1465" s="1310" t="s">
        <v>1233</v>
      </c>
      <c r="E1465" s="1321">
        <v>52.57</v>
      </c>
      <c r="F1465" s="1322">
        <f t="shared" si="37"/>
        <v>52.57</v>
      </c>
      <c r="G1465" s="1292"/>
    </row>
    <row r="1466" spans="2:7" s="1291" customFormat="1" ht="12.75" x14ac:dyDescent="0.2">
      <c r="B1466" s="1319" t="s">
        <v>1249</v>
      </c>
      <c r="C1466" s="1320">
        <v>0.03</v>
      </c>
      <c r="D1466" s="1310" t="s">
        <v>1250</v>
      </c>
      <c r="E1466" s="1321">
        <v>672.6</v>
      </c>
      <c r="F1466" s="1322">
        <f t="shared" si="37"/>
        <v>20.178000000000001</v>
      </c>
      <c r="G1466" s="1292"/>
    </row>
    <row r="1467" spans="2:7" s="1291" customFormat="1" ht="12.75" x14ac:dyDescent="0.2">
      <c r="B1467" s="1319" t="s">
        <v>1263</v>
      </c>
      <c r="C1467" s="1320">
        <v>1</v>
      </c>
      <c r="D1467" s="1310" t="s">
        <v>1233</v>
      </c>
      <c r="E1467" s="1321">
        <v>532.05999999999995</v>
      </c>
      <c r="F1467" s="1322">
        <f t="shared" si="37"/>
        <v>532.05999999999995</v>
      </c>
      <c r="G1467" s="1292"/>
    </row>
    <row r="1468" spans="2:7" s="1291" customFormat="1" ht="12.75" x14ac:dyDescent="0.2">
      <c r="B1468" s="1319" t="s">
        <v>1251</v>
      </c>
      <c r="C1468" s="1320">
        <v>0.5</v>
      </c>
      <c r="D1468" s="1310" t="s">
        <v>1233</v>
      </c>
      <c r="E1468" s="1321">
        <v>8.9600000000000009</v>
      </c>
      <c r="F1468" s="1322">
        <f t="shared" si="37"/>
        <v>4.4800000000000004</v>
      </c>
      <c r="G1468" s="1292"/>
    </row>
    <row r="1469" spans="2:7" s="1291" customFormat="1" ht="12.75" x14ac:dyDescent="0.2">
      <c r="B1469" s="1319" t="s">
        <v>1264</v>
      </c>
      <c r="C1469" s="1320">
        <v>0.12</v>
      </c>
      <c r="D1469" s="1310" t="s">
        <v>1253</v>
      </c>
      <c r="E1469" s="1321">
        <v>658.54</v>
      </c>
      <c r="F1469" s="1322"/>
      <c r="G1469" s="1292"/>
    </row>
    <row r="1470" spans="2:7" s="1291" customFormat="1" ht="12.75" x14ac:dyDescent="0.2">
      <c r="B1470" s="1319" t="s">
        <v>1265</v>
      </c>
      <c r="C1470" s="1320">
        <v>1</v>
      </c>
      <c r="D1470" s="1310" t="s">
        <v>1233</v>
      </c>
      <c r="E1470" s="1321">
        <v>2798.11</v>
      </c>
      <c r="F1470" s="1322"/>
      <c r="G1470" s="1292"/>
    </row>
    <row r="1471" spans="2:7" s="1291" customFormat="1" ht="12.75" x14ac:dyDescent="0.2">
      <c r="B1471" s="1317"/>
      <c r="C1471" s="1317"/>
      <c r="D1471" s="1317"/>
      <c r="E1471" s="1317"/>
      <c r="F1471" s="1318">
        <f>SUM(F1451:F1470)</f>
        <v>4005.6149</v>
      </c>
      <c r="G1471" s="1292"/>
    </row>
    <row r="1473" spans="2:7" s="1291" customFormat="1" ht="12.75" x14ac:dyDescent="0.2">
      <c r="B1473" s="1303" t="s">
        <v>1266</v>
      </c>
      <c r="C1473" s="1317"/>
      <c r="D1473" s="1317"/>
      <c r="E1473" s="1317"/>
      <c r="F1473" s="1317"/>
      <c r="G1473" s="1292"/>
    </row>
    <row r="1474" spans="2:7" s="1291" customFormat="1" ht="12.75" x14ac:dyDescent="0.2">
      <c r="B1474" s="1319" t="s">
        <v>1267</v>
      </c>
      <c r="C1474" s="1320">
        <v>0.17</v>
      </c>
      <c r="D1474" s="1310" t="s">
        <v>1233</v>
      </c>
      <c r="E1474" s="1321">
        <v>1269.44</v>
      </c>
      <c r="F1474" s="1322">
        <f>+C1474*E1474</f>
        <v>215.80480000000003</v>
      </c>
      <c r="G1474" s="1292"/>
    </row>
    <row r="1475" spans="2:7" s="1291" customFormat="1" ht="12.75" x14ac:dyDescent="0.2">
      <c r="B1475" s="1319" t="s">
        <v>1268</v>
      </c>
      <c r="C1475" s="1320">
        <v>1</v>
      </c>
      <c r="D1475" s="1310" t="s">
        <v>1233</v>
      </c>
      <c r="E1475" s="1321">
        <v>165.67</v>
      </c>
      <c r="F1475" s="1322">
        <f t="shared" ref="F1475:F1493" si="38">+C1475*E1475</f>
        <v>165.67</v>
      </c>
      <c r="G1475" s="1292"/>
    </row>
    <row r="1476" spans="2:7" s="1291" customFormat="1" ht="12.75" x14ac:dyDescent="0.2">
      <c r="B1476" s="1319" t="s">
        <v>1269</v>
      </c>
      <c r="C1476" s="1320">
        <v>1</v>
      </c>
      <c r="D1476" s="1310" t="s">
        <v>1233</v>
      </c>
      <c r="E1476" s="1321">
        <v>64.430000000000007</v>
      </c>
      <c r="F1476" s="1322">
        <f t="shared" si="38"/>
        <v>64.430000000000007</v>
      </c>
      <c r="G1476" s="1292"/>
    </row>
    <row r="1477" spans="2:7" s="1291" customFormat="1" ht="12.75" x14ac:dyDescent="0.2">
      <c r="B1477" s="1319" t="s">
        <v>1270</v>
      </c>
      <c r="C1477" s="1320">
        <v>1</v>
      </c>
      <c r="D1477" s="1310" t="s">
        <v>1233</v>
      </c>
      <c r="E1477" s="1321">
        <v>85.9</v>
      </c>
      <c r="F1477" s="1322">
        <f t="shared" si="38"/>
        <v>85.9</v>
      </c>
      <c r="G1477" s="1292"/>
    </row>
    <row r="1478" spans="2:7" s="1291" customFormat="1" ht="12.75" x14ac:dyDescent="0.2">
      <c r="B1478" s="1319" t="s">
        <v>1271</v>
      </c>
      <c r="C1478" s="1320">
        <v>0.35</v>
      </c>
      <c r="D1478" s="1310" t="s">
        <v>1233</v>
      </c>
      <c r="E1478" s="1321">
        <v>57.02</v>
      </c>
      <c r="F1478" s="1322">
        <f t="shared" si="38"/>
        <v>19.957000000000001</v>
      </c>
      <c r="G1478" s="1292"/>
    </row>
    <row r="1479" spans="2:7" s="1291" customFormat="1" ht="12.75" x14ac:dyDescent="0.2">
      <c r="B1479" s="1319" t="s">
        <v>1238</v>
      </c>
      <c r="C1479" s="1320">
        <v>1</v>
      </c>
      <c r="D1479" s="1310" t="s">
        <v>1233</v>
      </c>
      <c r="E1479" s="1321">
        <v>43.93</v>
      </c>
      <c r="F1479" s="1322">
        <f t="shared" si="38"/>
        <v>43.93</v>
      </c>
      <c r="G1479" s="1292"/>
    </row>
    <row r="1480" spans="2:7" s="1291" customFormat="1" ht="12.75" x14ac:dyDescent="0.2">
      <c r="B1480" s="1319" t="s">
        <v>1239</v>
      </c>
      <c r="C1480" s="1320">
        <v>0.17</v>
      </c>
      <c r="D1480" s="1310" t="s">
        <v>1233</v>
      </c>
      <c r="E1480" s="1321">
        <v>478.08</v>
      </c>
      <c r="F1480" s="1322">
        <f t="shared" si="38"/>
        <v>81.273600000000002</v>
      </c>
      <c r="G1480" s="1292"/>
    </row>
    <row r="1481" spans="2:7" s="1291" customFormat="1" ht="12.75" x14ac:dyDescent="0.2">
      <c r="B1481" s="1319" t="s">
        <v>1240</v>
      </c>
      <c r="C1481" s="1320">
        <v>2</v>
      </c>
      <c r="D1481" s="1310" t="s">
        <v>1233</v>
      </c>
      <c r="E1481" s="1321">
        <v>25.96</v>
      </c>
      <c r="F1481" s="1322">
        <f t="shared" si="38"/>
        <v>51.92</v>
      </c>
      <c r="G1481" s="1292"/>
    </row>
    <row r="1482" spans="2:7" s="1291" customFormat="1" ht="12.75" x14ac:dyDescent="0.2">
      <c r="B1482" s="1319" t="s">
        <v>1272</v>
      </c>
      <c r="C1482" s="1320">
        <v>1</v>
      </c>
      <c r="D1482" s="1310" t="s">
        <v>1233</v>
      </c>
      <c r="E1482" s="1321">
        <v>20</v>
      </c>
      <c r="F1482" s="1322">
        <f t="shared" si="38"/>
        <v>20</v>
      </c>
      <c r="G1482" s="1292"/>
    </row>
    <row r="1483" spans="2:7" s="1291" customFormat="1" ht="12.75" x14ac:dyDescent="0.2">
      <c r="B1483" s="1319" t="s">
        <v>1258</v>
      </c>
      <c r="C1483" s="1320">
        <v>0.02</v>
      </c>
      <c r="D1483" s="1310" t="s">
        <v>1244</v>
      </c>
      <c r="E1483" s="1321">
        <v>729.24</v>
      </c>
      <c r="F1483" s="1322">
        <f t="shared" si="38"/>
        <v>14.584800000000001</v>
      </c>
      <c r="G1483" s="1292"/>
    </row>
    <row r="1484" spans="2:7" s="1291" customFormat="1" ht="12.75" x14ac:dyDescent="0.2">
      <c r="B1484" s="1319" t="s">
        <v>1273</v>
      </c>
      <c r="C1484" s="1320">
        <v>1</v>
      </c>
      <c r="D1484" s="1310" t="s">
        <v>1233</v>
      </c>
      <c r="E1484" s="1321">
        <v>5295</v>
      </c>
      <c r="F1484" s="1322">
        <f t="shared" si="38"/>
        <v>5295</v>
      </c>
      <c r="G1484" s="1292"/>
    </row>
    <row r="1485" spans="2:7" s="1291" customFormat="1" ht="12.75" x14ac:dyDescent="0.2">
      <c r="B1485" s="1319" t="s">
        <v>1274</v>
      </c>
      <c r="C1485" s="1320">
        <v>1</v>
      </c>
      <c r="D1485" s="1310" t="s">
        <v>1233</v>
      </c>
      <c r="E1485" s="1321">
        <v>210.34</v>
      </c>
      <c r="F1485" s="1322">
        <f t="shared" si="38"/>
        <v>210.34</v>
      </c>
      <c r="G1485" s="1292"/>
    </row>
    <row r="1486" spans="2:7" s="1291" customFormat="1" ht="12.75" x14ac:dyDescent="0.2">
      <c r="B1486" s="1319" t="s">
        <v>1275</v>
      </c>
      <c r="C1486" s="1320">
        <v>1</v>
      </c>
      <c r="D1486" s="1310" t="s">
        <v>1276</v>
      </c>
      <c r="E1486" s="1321">
        <v>16.73</v>
      </c>
      <c r="F1486" s="1322">
        <f t="shared" si="38"/>
        <v>16.73</v>
      </c>
      <c r="G1486" s="1292"/>
    </row>
    <row r="1487" spans="2:7" s="1291" customFormat="1" ht="12.75" x14ac:dyDescent="0.2">
      <c r="B1487" s="1319" t="s">
        <v>1277</v>
      </c>
      <c r="C1487" s="1320">
        <v>1</v>
      </c>
      <c r="D1487" s="1310" t="s">
        <v>1233</v>
      </c>
      <c r="E1487" s="1321">
        <v>78.14</v>
      </c>
      <c r="F1487" s="1322">
        <f t="shared" si="38"/>
        <v>78.14</v>
      </c>
      <c r="G1487" s="1292"/>
    </row>
    <row r="1488" spans="2:7" s="1291" customFormat="1" ht="12.75" x14ac:dyDescent="0.2">
      <c r="B1488" s="1319" t="s">
        <v>1249</v>
      </c>
      <c r="C1488" s="1320">
        <v>0.04</v>
      </c>
      <c r="D1488" s="1310" t="s">
        <v>1250</v>
      </c>
      <c r="E1488" s="1321">
        <v>672.6</v>
      </c>
      <c r="F1488" s="1322">
        <f t="shared" si="38"/>
        <v>26.904</v>
      </c>
      <c r="G1488" s="1292"/>
    </row>
    <row r="1489" spans="2:7" s="1291" customFormat="1" ht="12.75" x14ac:dyDescent="0.2">
      <c r="B1489" s="1319" t="s">
        <v>1278</v>
      </c>
      <c r="C1489" s="1320">
        <v>1</v>
      </c>
      <c r="D1489" s="1310" t="s">
        <v>1233</v>
      </c>
      <c r="E1489" s="1321">
        <v>205.49</v>
      </c>
      <c r="F1489" s="1322">
        <f t="shared" si="38"/>
        <v>205.49</v>
      </c>
      <c r="G1489" s="1292"/>
    </row>
    <row r="1490" spans="2:7" s="1291" customFormat="1" ht="12.75" x14ac:dyDescent="0.2">
      <c r="B1490" s="1319" t="s">
        <v>1279</v>
      </c>
      <c r="C1490" s="1320">
        <v>1</v>
      </c>
      <c r="D1490" s="1310" t="s">
        <v>1233</v>
      </c>
      <c r="E1490" s="1321">
        <v>12.92</v>
      </c>
      <c r="F1490" s="1322">
        <f t="shared" si="38"/>
        <v>12.92</v>
      </c>
      <c r="G1490" s="1292"/>
    </row>
    <row r="1491" spans="2:7" s="1291" customFormat="1" ht="12.75" x14ac:dyDescent="0.2">
      <c r="B1491" s="1319" t="s">
        <v>1280</v>
      </c>
      <c r="C1491" s="1320">
        <v>1</v>
      </c>
      <c r="D1491" s="1310" t="s">
        <v>1233</v>
      </c>
      <c r="E1491" s="1321">
        <v>10.07</v>
      </c>
      <c r="F1491" s="1322">
        <f t="shared" si="38"/>
        <v>10.07</v>
      </c>
      <c r="G1491" s="1292"/>
    </row>
    <row r="1492" spans="2:7" s="1291" customFormat="1" ht="12.75" x14ac:dyDescent="0.2">
      <c r="B1492" s="1319" t="s">
        <v>1281</v>
      </c>
      <c r="C1492" s="1320">
        <v>1</v>
      </c>
      <c r="D1492" s="1310" t="s">
        <v>1233</v>
      </c>
      <c r="E1492" s="1321">
        <v>215.06</v>
      </c>
      <c r="F1492" s="1322">
        <f t="shared" si="38"/>
        <v>215.06</v>
      </c>
      <c r="G1492" s="1292"/>
    </row>
    <row r="1493" spans="2:7" s="1291" customFormat="1" ht="12.75" x14ac:dyDescent="0.2">
      <c r="B1493" s="1319" t="s">
        <v>1251</v>
      </c>
      <c r="C1493" s="1320">
        <v>0.7</v>
      </c>
      <c r="D1493" s="1310" t="s">
        <v>1233</v>
      </c>
      <c r="E1493" s="1321">
        <v>8.9600000000000009</v>
      </c>
      <c r="F1493" s="1322">
        <f t="shared" si="38"/>
        <v>6.2720000000000002</v>
      </c>
      <c r="G1493" s="1292"/>
    </row>
    <row r="1494" spans="2:7" s="1291" customFormat="1" ht="12.75" x14ac:dyDescent="0.2">
      <c r="B1494" s="1319" t="s">
        <v>1264</v>
      </c>
      <c r="C1494" s="1320">
        <v>0.12</v>
      </c>
      <c r="D1494" s="1310" t="s">
        <v>1253</v>
      </c>
      <c r="E1494" s="1321">
        <v>658.54</v>
      </c>
      <c r="F1494" s="1322"/>
      <c r="G1494" s="1292"/>
    </row>
    <row r="1495" spans="2:7" s="1291" customFormat="1" ht="12.75" x14ac:dyDescent="0.2">
      <c r="B1495" s="1319" t="s">
        <v>1282</v>
      </c>
      <c r="C1495" s="1320">
        <v>1</v>
      </c>
      <c r="D1495" s="1310" t="s">
        <v>1233</v>
      </c>
      <c r="E1495" s="1321">
        <v>3457.32</v>
      </c>
      <c r="F1495" s="1322"/>
      <c r="G1495" s="1292"/>
    </row>
    <row r="1496" spans="2:7" s="1291" customFormat="1" ht="12.75" x14ac:dyDescent="0.2">
      <c r="B1496" s="1317"/>
      <c r="C1496" s="1317"/>
      <c r="D1496" s="1317"/>
      <c r="E1496" s="1317"/>
      <c r="F1496" s="1323">
        <f>SUM(F1474:F1495)</f>
        <v>6840.3962000000001</v>
      </c>
      <c r="G1496" s="1292"/>
    </row>
    <row r="1498" spans="2:7" s="1291" customFormat="1" ht="12.75" x14ac:dyDescent="0.2">
      <c r="B1498" s="1303" t="s">
        <v>1283</v>
      </c>
      <c r="C1498" s="1317"/>
      <c r="D1498" s="1317"/>
      <c r="E1498" s="1317"/>
      <c r="F1498" s="1317"/>
      <c r="G1498" s="1292"/>
    </row>
    <row r="1499" spans="2:7" s="1291" customFormat="1" ht="12.75" x14ac:dyDescent="0.2">
      <c r="B1499" s="1319" t="s">
        <v>1284</v>
      </c>
      <c r="C1499" s="1320">
        <v>0.17</v>
      </c>
      <c r="D1499" s="1310" t="s">
        <v>1233</v>
      </c>
      <c r="E1499" s="1321">
        <v>763.06</v>
      </c>
      <c r="F1499" s="1322">
        <f t="shared" ref="F1499:F1506" si="39">+C1499*E1499</f>
        <v>129.72020000000001</v>
      </c>
      <c r="G1499" s="1292"/>
    </row>
    <row r="1500" spans="2:7" s="1291" customFormat="1" ht="12.75" x14ac:dyDescent="0.2">
      <c r="B1500" s="1319" t="s">
        <v>1285</v>
      </c>
      <c r="C1500" s="1320">
        <v>1</v>
      </c>
      <c r="D1500" s="1310" t="s">
        <v>1233</v>
      </c>
      <c r="E1500" s="1321">
        <v>186.92</v>
      </c>
      <c r="F1500" s="1322">
        <f t="shared" si="39"/>
        <v>186.92</v>
      </c>
      <c r="G1500" s="1292"/>
    </row>
    <row r="1501" spans="2:7" s="1291" customFormat="1" ht="12.75" x14ac:dyDescent="0.2">
      <c r="B1501" s="1319" t="s">
        <v>1286</v>
      </c>
      <c r="C1501" s="1320">
        <v>1</v>
      </c>
      <c r="D1501" s="1310" t="s">
        <v>1233</v>
      </c>
      <c r="E1501" s="1321">
        <v>92</v>
      </c>
      <c r="F1501" s="1322">
        <f t="shared" si="39"/>
        <v>92</v>
      </c>
      <c r="G1501" s="1292"/>
    </row>
    <row r="1502" spans="2:7" s="1291" customFormat="1" ht="12.75" x14ac:dyDescent="0.2">
      <c r="B1502" s="1319" t="s">
        <v>1287</v>
      </c>
      <c r="C1502" s="1320">
        <v>1</v>
      </c>
      <c r="D1502" s="1310" t="s">
        <v>1233</v>
      </c>
      <c r="E1502" s="1321">
        <v>29</v>
      </c>
      <c r="F1502" s="1322">
        <f t="shared" si="39"/>
        <v>29</v>
      </c>
      <c r="G1502" s="1292"/>
    </row>
    <row r="1503" spans="2:7" s="1291" customFormat="1" ht="12.75" x14ac:dyDescent="0.2">
      <c r="B1503" s="1319" t="s">
        <v>1288</v>
      </c>
      <c r="C1503" s="1320">
        <v>1</v>
      </c>
      <c r="D1503" s="1310" t="s">
        <v>1233</v>
      </c>
      <c r="E1503" s="1321">
        <v>40.07</v>
      </c>
      <c r="F1503" s="1322">
        <f t="shared" si="39"/>
        <v>40.07</v>
      </c>
      <c r="G1503" s="1292"/>
    </row>
    <row r="1504" spans="2:7" s="1291" customFormat="1" ht="12.75" x14ac:dyDescent="0.2">
      <c r="B1504" s="1319" t="s">
        <v>1248</v>
      </c>
      <c r="C1504" s="1320">
        <v>1</v>
      </c>
      <c r="D1504" s="1310" t="s">
        <v>1233</v>
      </c>
      <c r="E1504" s="1321">
        <v>70.09</v>
      </c>
      <c r="F1504" s="1322">
        <f t="shared" si="39"/>
        <v>70.09</v>
      </c>
      <c r="G1504" s="1292"/>
    </row>
    <row r="1505" spans="2:9" s="1291" customFormat="1" ht="12.75" x14ac:dyDescent="0.2">
      <c r="B1505" s="1319" t="s">
        <v>1237</v>
      </c>
      <c r="C1505" s="1320">
        <v>0.23</v>
      </c>
      <c r="D1505" s="1310" t="s">
        <v>1233</v>
      </c>
      <c r="E1505" s="1321">
        <v>57.02</v>
      </c>
      <c r="F1505" s="1322">
        <f t="shared" si="39"/>
        <v>13.114600000000001</v>
      </c>
      <c r="G1505" s="1292"/>
    </row>
    <row r="1506" spans="2:9" s="1291" customFormat="1" ht="12.75" x14ac:dyDescent="0.2">
      <c r="B1506" s="1319" t="s">
        <v>1289</v>
      </c>
      <c r="C1506" s="1320">
        <v>1</v>
      </c>
      <c r="D1506" s="1310" t="s">
        <v>1233</v>
      </c>
      <c r="E1506" s="1321">
        <v>1195.48</v>
      </c>
      <c r="F1506" s="1322">
        <f t="shared" si="39"/>
        <v>1195.48</v>
      </c>
      <c r="G1506" s="1292"/>
    </row>
    <row r="1507" spans="2:9" s="1291" customFormat="1" ht="12.75" x14ac:dyDescent="0.2">
      <c r="B1507" s="1317"/>
      <c r="C1507" s="1317"/>
      <c r="D1507" s="1317"/>
      <c r="E1507" s="1317"/>
      <c r="F1507" s="1318">
        <f>SUM(F1499:F1506)</f>
        <v>1756.3948</v>
      </c>
      <c r="G1507" s="1292"/>
    </row>
    <row r="1509" spans="2:9" s="1300" customFormat="1" ht="13.5" thickBot="1" x14ac:dyDescent="0.25">
      <c r="B1509" s="727" t="s">
        <v>1290</v>
      </c>
      <c r="F1509" s="1324"/>
      <c r="G1509" s="1325"/>
      <c r="H1509" s="1326"/>
      <c r="I1509" s="1326"/>
    </row>
    <row r="1510" spans="2:9" s="1300" customFormat="1" ht="14.25" thickTop="1" thickBot="1" x14ac:dyDescent="0.25">
      <c r="B1510" s="197" t="s">
        <v>1291</v>
      </c>
      <c r="C1510" s="92">
        <v>0.5</v>
      </c>
      <c r="D1510" s="249" t="s">
        <v>1233</v>
      </c>
      <c r="E1510" s="92">
        <v>2718.6</v>
      </c>
      <c r="F1510" s="334">
        <f>ROUND(C1510*E1510,2)</f>
        <v>1359.3</v>
      </c>
      <c r="G1510" s="1325"/>
      <c r="H1510" s="1326"/>
      <c r="I1510" s="1326"/>
    </row>
    <row r="1511" spans="2:9" s="1300" customFormat="1" ht="14.25" thickTop="1" thickBot="1" x14ac:dyDescent="0.25">
      <c r="B1511" s="198" t="s">
        <v>1288</v>
      </c>
      <c r="C1511" s="98">
        <v>1</v>
      </c>
      <c r="D1511" s="250" t="s">
        <v>1233</v>
      </c>
      <c r="E1511" s="98">
        <v>40.07</v>
      </c>
      <c r="F1511" s="334">
        <f>ROUND(C1511*E1511,2)</f>
        <v>40.07</v>
      </c>
      <c r="G1511" s="1325"/>
      <c r="H1511" s="1326"/>
      <c r="I1511" s="1326"/>
    </row>
    <row r="1512" spans="2:9" s="1300" customFormat="1" ht="14.25" thickTop="1" thickBot="1" x14ac:dyDescent="0.25">
      <c r="B1512" s="198" t="s">
        <v>1292</v>
      </c>
      <c r="C1512" s="98">
        <v>0.04</v>
      </c>
      <c r="D1512" s="250" t="s">
        <v>1233</v>
      </c>
      <c r="E1512" s="98">
        <v>292.05</v>
      </c>
      <c r="F1512" s="334">
        <f>ROUND(C1512*E1512,2)</f>
        <v>11.68</v>
      </c>
      <c r="G1512" s="1325"/>
      <c r="H1512" s="1326"/>
      <c r="I1512" s="1326"/>
    </row>
    <row r="1513" spans="2:9" s="1300" customFormat="1" ht="14.25" thickTop="1" thickBot="1" x14ac:dyDescent="0.25">
      <c r="B1513" s="197" t="s">
        <v>1293</v>
      </c>
      <c r="C1513" s="92">
        <v>0.2</v>
      </c>
      <c r="D1513" s="249" t="s">
        <v>1253</v>
      </c>
      <c r="E1513" s="92">
        <v>658.54</v>
      </c>
      <c r="F1513" s="334">
        <f>ROUND(C1513*E1513,2)</f>
        <v>131.71</v>
      </c>
      <c r="G1513" s="1325"/>
      <c r="H1513" s="1326"/>
      <c r="I1513" s="1326"/>
    </row>
    <row r="1514" spans="2:9" s="1300" customFormat="1" ht="13.5" thickTop="1" x14ac:dyDescent="0.2">
      <c r="B1514" s="198" t="s">
        <v>1294</v>
      </c>
      <c r="C1514" s="98">
        <v>1</v>
      </c>
      <c r="D1514" s="250" t="s">
        <v>1233</v>
      </c>
      <c r="E1514" s="98">
        <v>928.38</v>
      </c>
      <c r="F1514" s="334">
        <f>ROUND(C1514*E1514,2)</f>
        <v>928.38</v>
      </c>
      <c r="G1514" s="1325"/>
      <c r="H1514" s="1326"/>
      <c r="I1514" s="1326"/>
    </row>
    <row r="1515" spans="2:9" s="1300" customFormat="1" ht="12.75" x14ac:dyDescent="0.2">
      <c r="B1515" s="198"/>
      <c r="C1515" s="98"/>
      <c r="D1515" s="250"/>
      <c r="E1515" s="98"/>
      <c r="F1515" s="1327">
        <f>SUM(F1510:F1514)</f>
        <v>2471.14</v>
      </c>
      <c r="G1515" s="1325"/>
      <c r="H1515" s="1326"/>
      <c r="I1515" s="1326"/>
    </row>
    <row r="1518" spans="2:9" s="1291" customFormat="1" ht="13.5" thickBot="1" x14ac:dyDescent="0.25">
      <c r="B1518" s="1234" t="s">
        <v>1295</v>
      </c>
      <c r="C1518" s="1279"/>
      <c r="D1518" s="1115"/>
      <c r="E1518" s="1115"/>
      <c r="F1518" s="1115"/>
      <c r="G1518" s="1292"/>
    </row>
    <row r="1519" spans="2:9" s="1291" customFormat="1" ht="13.5" thickTop="1" x14ac:dyDescent="0.2">
      <c r="B1519" s="935" t="s">
        <v>1296</v>
      </c>
      <c r="C1519" s="1328">
        <f>2.12*0.2</f>
        <v>0.42400000000000004</v>
      </c>
      <c r="D1519" s="1329" t="s">
        <v>124</v>
      </c>
      <c r="E1519" s="1330">
        <f>F444</f>
        <v>986.91</v>
      </c>
      <c r="F1519" s="1296">
        <f>C1519*E1519</f>
        <v>418.44984000000005</v>
      </c>
      <c r="G1519" s="1292"/>
    </row>
    <row r="1520" spans="2:9" s="1291" customFormat="1" ht="12.75" x14ac:dyDescent="0.2">
      <c r="B1520" s="937" t="s">
        <v>1297</v>
      </c>
      <c r="C1520" s="1331">
        <f>+(2.12*0.2*3)</f>
        <v>1.2720000000000002</v>
      </c>
      <c r="D1520" s="1281" t="s">
        <v>124</v>
      </c>
      <c r="E1520" s="1332">
        <v>1579.78</v>
      </c>
      <c r="F1520" s="1240">
        <f>C1520*E1520</f>
        <v>2009.4801600000003</v>
      </c>
      <c r="G1520" s="1292"/>
    </row>
    <row r="1521" spans="2:7" s="1291" customFormat="1" ht="13.5" thickBot="1" x14ac:dyDescent="0.25">
      <c r="B1521" s="947"/>
      <c r="C1521" s="1287"/>
      <c r="D1521" s="1288" t="s">
        <v>657</v>
      </c>
      <c r="E1521" s="1289" t="s">
        <v>658</v>
      </c>
      <c r="F1521" s="1290">
        <f>ROUND(SUM(F1519:F1520),2)</f>
        <v>2427.9299999999998</v>
      </c>
      <c r="G1521" s="1292"/>
    </row>
    <row r="1522" spans="2:7" ht="11.85" customHeight="1" thickTop="1" x14ac:dyDescent="0.2"/>
    <row r="1524" spans="2:7" ht="11.85" customHeight="1" x14ac:dyDescent="0.2">
      <c r="B1524" s="1721" t="s">
        <v>1308</v>
      </c>
      <c r="C1524" s="1721"/>
      <c r="D1524" s="1721"/>
      <c r="E1524" s="1721"/>
      <c r="F1524" s="1721"/>
    </row>
    <row r="1526" spans="2:7" ht="11.85" customHeight="1" thickBot="1" x14ac:dyDescent="0.25">
      <c r="B1526" s="1334" t="s">
        <v>1194</v>
      </c>
      <c r="C1526" s="1335"/>
      <c r="D1526" s="1335"/>
      <c r="E1526" s="1335"/>
      <c r="F1526" s="1335"/>
    </row>
    <row r="1527" spans="2:7" ht="11.85" customHeight="1" thickTop="1" x14ac:dyDescent="0.2">
      <c r="B1527" s="1336" t="s">
        <v>730</v>
      </c>
      <c r="C1527" s="1337">
        <v>1.05</v>
      </c>
      <c r="D1527" s="1338" t="s">
        <v>88</v>
      </c>
      <c r="E1527" s="1337">
        <f>F195</f>
        <v>6278.2195999999994</v>
      </c>
      <c r="F1527" s="1339">
        <f>C1527*E1527</f>
        <v>6592.13058</v>
      </c>
    </row>
    <row r="1528" spans="2:7" ht="11.85" customHeight="1" x14ac:dyDescent="0.2">
      <c r="B1528" s="1340" t="s">
        <v>812</v>
      </c>
      <c r="C1528" s="1341">
        <v>0.87</v>
      </c>
      <c r="D1528" s="1342" t="s">
        <v>297</v>
      </c>
      <c r="E1528" s="1341">
        <f>F378</f>
        <v>3245.28</v>
      </c>
      <c r="F1528" s="1343">
        <f>C1528*E1528</f>
        <v>2823.3936000000003</v>
      </c>
    </row>
    <row r="1529" spans="2:7" ht="11.85" customHeight="1" thickBot="1" x14ac:dyDescent="0.25">
      <c r="B1529" s="1344"/>
      <c r="C1529" s="1345"/>
      <c r="D1529" s="1345"/>
      <c r="E1529" s="1346"/>
      <c r="F1529" s="1347">
        <f>ROUND(SUM(F1526:F1528),2)</f>
        <v>9415.52</v>
      </c>
    </row>
    <row r="1530" spans="2:7" ht="11.85" customHeight="1" thickTop="1" x14ac:dyDescent="0.2">
      <c r="B1530" s="1348"/>
      <c r="C1530" s="1349"/>
      <c r="D1530" s="1349"/>
      <c r="E1530" s="1349"/>
      <c r="F1530" s="1349"/>
    </row>
    <row r="1531" spans="2:7" ht="11.85" customHeight="1" thickBot="1" x14ac:dyDescent="0.25">
      <c r="B1531" s="1334" t="s">
        <v>1195</v>
      </c>
      <c r="C1531" s="1335"/>
      <c r="D1531" s="1350"/>
      <c r="E1531" s="1335"/>
      <c r="F1531" s="1335"/>
    </row>
    <row r="1532" spans="2:7" ht="11.85" customHeight="1" thickTop="1" x14ac:dyDescent="0.2">
      <c r="B1532" s="1351" t="s">
        <v>730</v>
      </c>
      <c r="C1532" s="1248">
        <v>1.05</v>
      </c>
      <c r="D1532" s="1352" t="s">
        <v>88</v>
      </c>
      <c r="E1532" s="1248">
        <f>+E1527</f>
        <v>6278.2195999999994</v>
      </c>
      <c r="F1532" s="1353">
        <f>C1532*E1532</f>
        <v>6592.13058</v>
      </c>
    </row>
    <row r="1533" spans="2:7" ht="11.85" customHeight="1" x14ac:dyDescent="0.2">
      <c r="B1533" s="1354" t="s">
        <v>812</v>
      </c>
      <c r="C1533" s="1355">
        <v>2.08</v>
      </c>
      <c r="D1533" s="1356" t="s">
        <v>297</v>
      </c>
      <c r="E1533" s="1355">
        <f>+E1528</f>
        <v>3245.28</v>
      </c>
      <c r="F1533" s="1357">
        <f>C1533*E1533</f>
        <v>6750.1824000000006</v>
      </c>
    </row>
    <row r="1534" spans="2:7" ht="11.85" customHeight="1" thickBot="1" x14ac:dyDescent="0.25">
      <c r="B1534" s="1358"/>
      <c r="C1534" s="1359"/>
      <c r="D1534" s="1360"/>
      <c r="E1534" s="1361"/>
      <c r="F1534" s="1362">
        <f>ROUND(SUM(F1531:F1533),2)</f>
        <v>13342.31</v>
      </c>
    </row>
    <row r="1535" spans="2:7" ht="11.85" customHeight="1" thickTop="1" x14ac:dyDescent="0.2">
      <c r="B1535" s="1363"/>
      <c r="C1535" s="1364"/>
      <c r="D1535" s="1365"/>
      <c r="E1535" s="1366"/>
      <c r="F1535" s="1366"/>
    </row>
    <row r="1536" spans="2:7" ht="11.85" customHeight="1" x14ac:dyDescent="0.2">
      <c r="B1536" s="1363"/>
      <c r="C1536" s="1364"/>
      <c r="D1536" s="1365"/>
      <c r="E1536" s="1366"/>
      <c r="F1536" s="1366"/>
    </row>
    <row r="1537" spans="2:6" ht="11.85" customHeight="1" thickBot="1" x14ac:dyDescent="0.25">
      <c r="B1537" s="1367" t="s">
        <v>1307</v>
      </c>
      <c r="C1537" s="1368"/>
      <c r="D1537" s="1368"/>
      <c r="E1537" s="1368"/>
      <c r="F1537" s="1368"/>
    </row>
    <row r="1538" spans="2:6" ht="11.85" customHeight="1" thickTop="1" x14ac:dyDescent="0.2">
      <c r="B1538" s="1336" t="s">
        <v>1197</v>
      </c>
      <c r="C1538" s="1369">
        <v>1.05</v>
      </c>
      <c r="D1538" s="1370" t="s">
        <v>88</v>
      </c>
      <c r="E1538" s="1248">
        <f>F184</f>
        <v>6621.6739999999991</v>
      </c>
      <c r="F1538" s="1371">
        <f>C1538*E1538</f>
        <v>6952.7576999999992</v>
      </c>
    </row>
    <row r="1539" spans="2:6" ht="11.85" customHeight="1" x14ac:dyDescent="0.2">
      <c r="B1539" s="1372" t="s">
        <v>1198</v>
      </c>
      <c r="C1539" s="1373">
        <v>2.4500000000000002</v>
      </c>
      <c r="D1539" s="1374" t="s">
        <v>297</v>
      </c>
      <c r="E1539" s="1373"/>
      <c r="F1539" s="1375">
        <f>C1539*E1539</f>
        <v>0</v>
      </c>
    </row>
    <row r="1540" spans="2:6" ht="11.85" customHeight="1" x14ac:dyDescent="0.2">
      <c r="B1540" s="1372" t="s">
        <v>1199</v>
      </c>
      <c r="C1540" s="1373">
        <f>1/(0.2*0.25)</f>
        <v>20</v>
      </c>
      <c r="D1540" s="1374" t="s">
        <v>41</v>
      </c>
      <c r="E1540" s="1373"/>
      <c r="F1540" s="1375">
        <f>C1540*E1540</f>
        <v>0</v>
      </c>
    </row>
    <row r="1541" spans="2:6" ht="11.85" customHeight="1" x14ac:dyDescent="0.2">
      <c r="B1541" s="1372" t="s">
        <v>813</v>
      </c>
      <c r="C1541" s="1373">
        <f>1/(0.2*0.2)</f>
        <v>24.999999999999996</v>
      </c>
      <c r="D1541" s="1376" t="s">
        <v>41</v>
      </c>
      <c r="E1541" s="1377">
        <v>150</v>
      </c>
      <c r="F1541" s="1375">
        <f>C1541*E1541</f>
        <v>3749.9999999999995</v>
      </c>
    </row>
    <row r="1542" spans="2:6" ht="11.85" customHeight="1" thickBot="1" x14ac:dyDescent="0.25">
      <c r="B1542" s="1378"/>
      <c r="C1542" s="1379"/>
      <c r="D1542" s="1379"/>
      <c r="E1542" s="1380" t="s">
        <v>530</v>
      </c>
      <c r="F1542" s="1347">
        <f>ROUND(SUM(F1538:F1541),2)</f>
        <v>10702.76</v>
      </c>
    </row>
    <row r="1543" spans="2:6" ht="11.85" customHeight="1" thickTop="1" thickBot="1" x14ac:dyDescent="0.25">
      <c r="B1543" s="1367" t="s">
        <v>1196</v>
      </c>
      <c r="C1543" s="1368"/>
      <c r="D1543" s="1368"/>
      <c r="E1543" s="1368"/>
      <c r="F1543" s="1368"/>
    </row>
    <row r="1544" spans="2:6" ht="11.85" customHeight="1" thickTop="1" x14ac:dyDescent="0.2">
      <c r="B1544" s="1336" t="s">
        <v>1197</v>
      </c>
      <c r="C1544" s="1369">
        <v>1.05</v>
      </c>
      <c r="D1544" s="1370" t="s">
        <v>88</v>
      </c>
      <c r="E1544" s="1248">
        <f>+E1538</f>
        <v>6621.6739999999991</v>
      </c>
      <c r="F1544" s="1371">
        <f>C1544*E1544</f>
        <v>6952.7576999999992</v>
      </c>
    </row>
    <row r="1545" spans="2:6" ht="11.85" customHeight="1" x14ac:dyDescent="0.2">
      <c r="B1545" s="1372" t="s">
        <v>1198</v>
      </c>
      <c r="C1545" s="1373">
        <v>2.4500000000000002</v>
      </c>
      <c r="D1545" s="1374" t="s">
        <v>297</v>
      </c>
      <c r="E1545" s="1373">
        <f>F378</f>
        <v>3245.28</v>
      </c>
      <c r="F1545" s="1375">
        <f>C1545*E1545</f>
        <v>7950.9360000000015</v>
      </c>
    </row>
    <row r="1546" spans="2:6" ht="11.85" customHeight="1" x14ac:dyDescent="0.2">
      <c r="B1546" s="1372" t="s">
        <v>1199</v>
      </c>
      <c r="C1546" s="1373">
        <f>1/(0.2*0.25)</f>
        <v>20</v>
      </c>
      <c r="D1546" s="1374" t="s">
        <v>41</v>
      </c>
      <c r="E1546" s="1373"/>
      <c r="F1546" s="1375">
        <f>C1546*E1546</f>
        <v>0</v>
      </c>
    </row>
    <row r="1547" spans="2:6" ht="11.85" customHeight="1" x14ac:dyDescent="0.2">
      <c r="B1547" s="1372" t="s">
        <v>813</v>
      </c>
      <c r="C1547" s="1373">
        <f>1/(0.2*0.2)</f>
        <v>24.999999999999996</v>
      </c>
      <c r="D1547" s="1376" t="s">
        <v>41</v>
      </c>
      <c r="E1547" s="1377">
        <v>220</v>
      </c>
      <c r="F1547" s="1375">
        <f>C1547*E1547</f>
        <v>5499.9999999999991</v>
      </c>
    </row>
    <row r="1548" spans="2:6" ht="11.85" customHeight="1" thickBot="1" x14ac:dyDescent="0.25">
      <c r="B1548" s="1378"/>
      <c r="C1548" s="1379"/>
      <c r="D1548" s="1379"/>
      <c r="E1548" s="1380" t="s">
        <v>530</v>
      </c>
      <c r="F1548" s="1347">
        <f>ROUND(SUM(F1544:F1547),2)</f>
        <v>20403.689999999999</v>
      </c>
    </row>
    <row r="1549" spans="2:6" ht="11.85" customHeight="1" thickTop="1" x14ac:dyDescent="0.2">
      <c r="B1549" s="1381"/>
      <c r="C1549" s="1382"/>
      <c r="D1549" s="1382"/>
      <c r="E1549" s="1382"/>
      <c r="F1549" s="1382"/>
    </row>
    <row r="1550" spans="2:6" ht="11.85" customHeight="1" x14ac:dyDescent="0.2">
      <c r="B1550" s="1348"/>
      <c r="C1550" s="1349"/>
      <c r="D1550" s="1349"/>
      <c r="E1550" s="1383"/>
      <c r="F1550" s="1384"/>
    </row>
    <row r="1551" spans="2:6" ht="11.85" customHeight="1" x14ac:dyDescent="0.25">
      <c r="B1551" s="1385"/>
      <c r="C1551" s="1386"/>
      <c r="D1551" s="1387"/>
      <c r="E1551" s="1387"/>
      <c r="F1551" s="1388"/>
    </row>
    <row r="1552" spans="2:6" ht="11.85" customHeight="1" x14ac:dyDescent="0.2">
      <c r="B1552" s="1389"/>
      <c r="C1552" s="1390"/>
      <c r="D1552" s="1391"/>
      <c r="E1552" s="1390"/>
      <c r="F1552" s="1390"/>
    </row>
    <row r="1553" spans="2:6" ht="11.85" customHeight="1" thickBot="1" x14ac:dyDescent="0.25">
      <c r="B1553" s="1367" t="s">
        <v>1200</v>
      </c>
      <c r="C1553" s="1368"/>
      <c r="D1553" s="1368"/>
      <c r="E1553" s="1368"/>
      <c r="F1553" s="1368"/>
    </row>
    <row r="1554" spans="2:6" ht="11.85" customHeight="1" thickTop="1" x14ac:dyDescent="0.2">
      <c r="B1554" s="1336" t="s">
        <v>1197</v>
      </c>
      <c r="C1554" s="1369">
        <v>1.05</v>
      </c>
      <c r="D1554" s="1370" t="s">
        <v>88</v>
      </c>
      <c r="E1554" s="1248">
        <f>+E1538</f>
        <v>6621.6739999999991</v>
      </c>
      <c r="F1554" s="1371">
        <f>C1554*E1554</f>
        <v>6952.7576999999992</v>
      </c>
    </row>
    <row r="1555" spans="2:6" ht="11.85" customHeight="1" x14ac:dyDescent="0.2">
      <c r="B1555" s="1372" t="s">
        <v>1198</v>
      </c>
      <c r="C1555" s="1373">
        <v>3.22</v>
      </c>
      <c r="D1555" s="1374" t="s">
        <v>297</v>
      </c>
      <c r="E1555" s="1373">
        <f>+E1545</f>
        <v>3245.28</v>
      </c>
      <c r="F1555" s="1375">
        <f>C1555*E1555</f>
        <v>10449.801600000001</v>
      </c>
    </row>
    <row r="1556" spans="2:6" ht="11.85" customHeight="1" x14ac:dyDescent="0.2">
      <c r="B1556" s="1372" t="s">
        <v>1199</v>
      </c>
      <c r="C1556" s="1373">
        <f>1/(0.2*0.25)</f>
        <v>20</v>
      </c>
      <c r="D1556" s="1374" t="s">
        <v>41</v>
      </c>
      <c r="E1556" s="1373"/>
      <c r="F1556" s="1375">
        <f>C1556*E1556</f>
        <v>0</v>
      </c>
    </row>
    <row r="1557" spans="2:6" ht="11.85" customHeight="1" x14ac:dyDescent="0.2">
      <c r="B1557" s="1372" t="s">
        <v>813</v>
      </c>
      <c r="C1557" s="1373">
        <f>1/(0.2*0.15)</f>
        <v>33.333333333333336</v>
      </c>
      <c r="D1557" s="1376" t="s">
        <v>41</v>
      </c>
      <c r="E1557" s="1377">
        <v>200</v>
      </c>
      <c r="F1557" s="1375">
        <f>C1557*E1557</f>
        <v>6666.666666666667</v>
      </c>
    </row>
    <row r="1558" spans="2:6" ht="11.85" customHeight="1" thickBot="1" x14ac:dyDescent="0.25">
      <c r="B1558" s="1378"/>
      <c r="C1558" s="1379"/>
      <c r="D1558" s="1379"/>
      <c r="E1558" s="1380" t="s">
        <v>530</v>
      </c>
      <c r="F1558" s="1347">
        <f>ROUND(SUM(F1554:F1557),2)</f>
        <v>24069.23</v>
      </c>
    </row>
    <row r="1559" spans="2:6" ht="11.85" customHeight="1" thickTop="1" x14ac:dyDescent="0.2">
      <c r="B1559" s="1334"/>
      <c r="C1559" s="1364"/>
      <c r="D1559" s="1365"/>
      <c r="E1559" s="1364"/>
      <c r="F1559" s="1364"/>
    </row>
    <row r="1560" spans="2:6" ht="11.85" customHeight="1" thickBot="1" x14ac:dyDescent="0.25">
      <c r="B1560" s="1334" t="s">
        <v>1201</v>
      </c>
      <c r="C1560" s="1335"/>
      <c r="D1560" s="1350"/>
      <c r="E1560" s="1335"/>
      <c r="F1560" s="1335"/>
    </row>
    <row r="1561" spans="2:6" ht="11.85" customHeight="1" thickTop="1" x14ac:dyDescent="0.2">
      <c r="B1561" s="1351" t="s">
        <v>1197</v>
      </c>
      <c r="C1561" s="1248">
        <v>1.05</v>
      </c>
      <c r="D1561" s="1352" t="s">
        <v>88</v>
      </c>
      <c r="E1561" s="1248">
        <f>+E1554</f>
        <v>6621.6739999999991</v>
      </c>
      <c r="F1561" s="1392">
        <f>C1561*E1561</f>
        <v>6952.7576999999992</v>
      </c>
    </row>
    <row r="1562" spans="2:6" ht="11.85" customHeight="1" x14ac:dyDescent="0.2">
      <c r="B1562" s="1354" t="s">
        <v>1202</v>
      </c>
      <c r="C1562" s="1355">
        <v>4.3600000000000003</v>
      </c>
      <c r="D1562" s="1356" t="s">
        <v>297</v>
      </c>
      <c r="E1562" s="1355">
        <f>+E1555</f>
        <v>3245.28</v>
      </c>
      <c r="F1562" s="1357">
        <f>C1562*E1562</f>
        <v>14149.420800000002</v>
      </c>
    </row>
    <row r="1563" spans="2:6" ht="11.85" customHeight="1" x14ac:dyDescent="0.2">
      <c r="B1563" s="1393" t="s">
        <v>528</v>
      </c>
      <c r="C1563" s="1355">
        <f>1/(0.25*0.25)</f>
        <v>16</v>
      </c>
      <c r="D1563" s="1356" t="s">
        <v>128</v>
      </c>
      <c r="E1563" s="1355">
        <v>0</v>
      </c>
      <c r="F1563" s="1357">
        <f>C1563*E1563</f>
        <v>0</v>
      </c>
    </row>
    <row r="1564" spans="2:6" ht="11.85" customHeight="1" x14ac:dyDescent="0.2">
      <c r="B1564" s="1354" t="s">
        <v>813</v>
      </c>
      <c r="C1564" s="1355">
        <f>1/(0.25*0.25)</f>
        <v>16</v>
      </c>
      <c r="D1564" s="1356" t="s">
        <v>128</v>
      </c>
      <c r="E1564" s="1355">
        <v>350</v>
      </c>
      <c r="F1564" s="1357">
        <f>C1564*E1564</f>
        <v>5600</v>
      </c>
    </row>
    <row r="1565" spans="2:6" ht="11.85" customHeight="1" thickBot="1" x14ac:dyDescent="0.25">
      <c r="B1565" s="1358"/>
      <c r="C1565" s="1359"/>
      <c r="D1565" s="1360"/>
      <c r="E1565" s="1361"/>
      <c r="F1565" s="1362">
        <f>ROUND(SUM(F1561:F1564),2)</f>
        <v>26702.18</v>
      </c>
    </row>
    <row r="1566" spans="2:6" ht="11.85" customHeight="1" thickTop="1" x14ac:dyDescent="0.2"/>
    <row r="6611" spans="7:11" ht="11.85" customHeight="1" x14ac:dyDescent="0.2">
      <c r="G6611" s="1333"/>
      <c r="K6611" s="67"/>
    </row>
    <row r="6612" spans="7:11" ht="11.85" customHeight="1" x14ac:dyDescent="0.2">
      <c r="G6612" s="1333"/>
      <c r="K6612" s="67"/>
    </row>
    <row r="6613" spans="7:11" ht="11.85" customHeight="1" x14ac:dyDescent="0.2">
      <c r="G6613" s="1333"/>
      <c r="K6613" s="67"/>
    </row>
    <row r="6614" spans="7:11" ht="11.85" customHeight="1" x14ac:dyDescent="0.2">
      <c r="G6614" s="1333"/>
      <c r="K6614" s="67"/>
    </row>
    <row r="6615" spans="7:11" ht="11.85" customHeight="1" x14ac:dyDescent="0.2">
      <c r="G6615" s="1333"/>
      <c r="K6615" s="67"/>
    </row>
    <row r="6616" spans="7:11" ht="11.85" customHeight="1" x14ac:dyDescent="0.2">
      <c r="G6616" s="1333"/>
      <c r="K6616" s="67"/>
    </row>
    <row r="6617" spans="7:11" ht="11.85" customHeight="1" x14ac:dyDescent="0.2">
      <c r="G6617" s="1333"/>
      <c r="K6617" s="67"/>
    </row>
    <row r="6618" spans="7:11" ht="11.85" customHeight="1" x14ac:dyDescent="0.2">
      <c r="G6618" s="1333"/>
      <c r="K6618" s="67"/>
    </row>
    <row r="6619" spans="7:11" ht="11.85" customHeight="1" x14ac:dyDescent="0.2">
      <c r="G6619" s="1333"/>
      <c r="K6619" s="67"/>
    </row>
    <row r="6620" spans="7:11" ht="11.85" customHeight="1" x14ac:dyDescent="0.2">
      <c r="G6620" s="1333"/>
      <c r="K6620" s="67"/>
    </row>
    <row r="6621" spans="7:11" ht="11.85" customHeight="1" x14ac:dyDescent="0.2">
      <c r="G6621" s="1333"/>
      <c r="K6621" s="67"/>
    </row>
    <row r="6622" spans="7:11" ht="11.85" customHeight="1" x14ac:dyDescent="0.2">
      <c r="G6622" s="1333"/>
      <c r="K6622" s="67"/>
    </row>
    <row r="6623" spans="7:11" ht="11.85" customHeight="1" x14ac:dyDescent="0.2">
      <c r="G6623" s="1333"/>
      <c r="K6623" s="67"/>
    </row>
    <row r="6624" spans="7:11" ht="11.85" customHeight="1" x14ac:dyDescent="0.2">
      <c r="G6624" s="1333"/>
      <c r="K6624" s="67"/>
    </row>
    <row r="6625" spans="7:11" ht="11.85" customHeight="1" x14ac:dyDescent="0.2">
      <c r="G6625" s="1333"/>
      <c r="K6625" s="67"/>
    </row>
    <row r="6626" spans="7:11" ht="11.85" customHeight="1" x14ac:dyDescent="0.2">
      <c r="G6626" s="1333"/>
      <c r="K6626" s="67"/>
    </row>
    <row r="6627" spans="7:11" ht="11.85" customHeight="1" x14ac:dyDescent="0.2">
      <c r="G6627" s="1333"/>
      <c r="K6627" s="67"/>
    </row>
    <row r="6628" spans="7:11" ht="11.85" customHeight="1" x14ac:dyDescent="0.2">
      <c r="G6628" s="1333"/>
      <c r="K6628" s="67"/>
    </row>
    <row r="6629" spans="7:11" ht="11.85" customHeight="1" x14ac:dyDescent="0.2">
      <c r="G6629" s="1333"/>
      <c r="K6629" s="67"/>
    </row>
    <row r="6630" spans="7:11" ht="11.85" customHeight="1" x14ac:dyDescent="0.2">
      <c r="G6630" s="1333"/>
      <c r="K6630" s="67"/>
    </row>
    <row r="6631" spans="7:11" ht="11.85" customHeight="1" x14ac:dyDescent="0.2">
      <c r="G6631" s="1333"/>
      <c r="K6631" s="67"/>
    </row>
    <row r="6632" spans="7:11" ht="11.85" customHeight="1" x14ac:dyDescent="0.2">
      <c r="G6632" s="1333"/>
      <c r="K6632" s="67"/>
    </row>
    <row r="6633" spans="7:11" ht="11.85" customHeight="1" x14ac:dyDescent="0.2">
      <c r="G6633" s="1333"/>
      <c r="K6633" s="67"/>
    </row>
    <row r="6634" spans="7:11" ht="11.85" customHeight="1" x14ac:dyDescent="0.2">
      <c r="G6634" s="1333"/>
      <c r="K6634" s="67"/>
    </row>
    <row r="6635" spans="7:11" ht="11.85" customHeight="1" x14ac:dyDescent="0.2">
      <c r="G6635" s="1333"/>
      <c r="K6635" s="67"/>
    </row>
    <row r="6636" spans="7:11" ht="11.85" customHeight="1" x14ac:dyDescent="0.2">
      <c r="G6636" s="1333"/>
      <c r="K6636" s="67"/>
    </row>
    <row r="6637" spans="7:11" ht="11.85" customHeight="1" x14ac:dyDescent="0.2">
      <c r="G6637" s="1333"/>
      <c r="K6637" s="67"/>
    </row>
    <row r="6638" spans="7:11" ht="11.85" customHeight="1" x14ac:dyDescent="0.2">
      <c r="G6638" s="1333"/>
      <c r="K6638" s="67"/>
    </row>
    <row r="6639" spans="7:11" ht="11.85" customHeight="1" x14ac:dyDescent="0.2">
      <c r="G6639" s="1333"/>
      <c r="K6639" s="67"/>
    </row>
    <row r="6640" spans="7:11" ht="11.85" customHeight="1" x14ac:dyDescent="0.2">
      <c r="G6640" s="1333"/>
      <c r="K6640" s="67"/>
    </row>
    <row r="6641" spans="7:11" ht="11.85" customHeight="1" x14ac:dyDescent="0.2">
      <c r="G6641" s="1333"/>
      <c r="K6641" s="67"/>
    </row>
    <row r="6642" spans="7:11" ht="11.85" customHeight="1" x14ac:dyDescent="0.2">
      <c r="G6642" s="1333"/>
      <c r="K6642" s="67"/>
    </row>
    <row r="6643" spans="7:11" ht="11.85" customHeight="1" x14ac:dyDescent="0.2">
      <c r="G6643" s="1333"/>
      <c r="K6643" s="67"/>
    </row>
    <row r="6644" spans="7:11" ht="11.85" customHeight="1" x14ac:dyDescent="0.2">
      <c r="G6644" s="1333"/>
      <c r="K6644" s="67"/>
    </row>
    <row r="6645" spans="7:11" ht="11.85" customHeight="1" x14ac:dyDescent="0.2">
      <c r="G6645" s="1333"/>
      <c r="K6645" s="67"/>
    </row>
    <row r="6646" spans="7:11" ht="11.85" customHeight="1" x14ac:dyDescent="0.2">
      <c r="G6646" s="1333"/>
      <c r="K6646" s="67"/>
    </row>
    <row r="6647" spans="7:11" ht="11.85" customHeight="1" x14ac:dyDescent="0.2">
      <c r="G6647" s="1333"/>
      <c r="K6647" s="67"/>
    </row>
    <row r="6648" spans="7:11" ht="11.85" customHeight="1" x14ac:dyDescent="0.2">
      <c r="G6648" s="1333"/>
      <c r="K6648" s="67"/>
    </row>
    <row r="6649" spans="7:11" ht="11.85" customHeight="1" x14ac:dyDescent="0.2">
      <c r="G6649" s="1333"/>
      <c r="K6649" s="67"/>
    </row>
    <row r="6650" spans="7:11" ht="11.85" customHeight="1" x14ac:dyDescent="0.2">
      <c r="G6650" s="1333"/>
      <c r="K6650" s="67"/>
    </row>
    <row r="6651" spans="7:11" ht="11.85" customHeight="1" x14ac:dyDescent="0.2">
      <c r="G6651" s="1333"/>
      <c r="K6651" s="67"/>
    </row>
    <row r="6652" spans="7:11" ht="11.85" customHeight="1" x14ac:dyDescent="0.2">
      <c r="G6652" s="1333"/>
      <c r="K6652" s="67"/>
    </row>
    <row r="6653" spans="7:11" ht="11.85" customHeight="1" x14ac:dyDescent="0.2">
      <c r="G6653" s="1333"/>
      <c r="K6653" s="67"/>
    </row>
    <row r="6654" spans="7:11" ht="11.85" customHeight="1" x14ac:dyDescent="0.2">
      <c r="G6654" s="1333"/>
      <c r="K6654" s="67"/>
    </row>
    <row r="6655" spans="7:11" ht="11.85" customHeight="1" x14ac:dyDescent="0.2">
      <c r="G6655" s="1333"/>
      <c r="K6655" s="67"/>
    </row>
    <row r="6656" spans="7:11" ht="11.85" customHeight="1" x14ac:dyDescent="0.2">
      <c r="G6656" s="1333"/>
      <c r="K6656" s="67"/>
    </row>
    <row r="6657" spans="7:11" ht="11.85" customHeight="1" x14ac:dyDescent="0.2">
      <c r="G6657" s="1333"/>
      <c r="K6657" s="67"/>
    </row>
    <row r="6658" spans="7:11" ht="11.85" customHeight="1" x14ac:dyDescent="0.2">
      <c r="G6658" s="1333"/>
      <c r="K6658" s="67"/>
    </row>
    <row r="6659" spans="7:11" ht="11.85" customHeight="1" x14ac:dyDescent="0.2">
      <c r="G6659" s="1333"/>
      <c r="K6659" s="67"/>
    </row>
    <row r="6660" spans="7:11" ht="11.85" customHeight="1" x14ac:dyDescent="0.2">
      <c r="G6660" s="1333"/>
      <c r="K6660" s="67"/>
    </row>
    <row r="6661" spans="7:11" ht="11.85" customHeight="1" x14ac:dyDescent="0.2">
      <c r="G6661" s="1333"/>
      <c r="K6661" s="67"/>
    </row>
    <row r="6662" spans="7:11" ht="11.85" customHeight="1" x14ac:dyDescent="0.2">
      <c r="G6662" s="1333"/>
      <c r="K6662" s="67"/>
    </row>
    <row r="6663" spans="7:11" ht="11.85" customHeight="1" x14ac:dyDescent="0.2">
      <c r="G6663" s="1333"/>
      <c r="K6663" s="67"/>
    </row>
    <row r="6664" spans="7:11" ht="11.85" customHeight="1" x14ac:dyDescent="0.2">
      <c r="G6664" s="1333"/>
      <c r="K6664" s="67"/>
    </row>
    <row r="6665" spans="7:11" ht="11.85" customHeight="1" x14ac:dyDescent="0.2">
      <c r="G6665" s="1333"/>
      <c r="K6665" s="67"/>
    </row>
    <row r="6666" spans="7:11" ht="11.85" customHeight="1" x14ac:dyDescent="0.2">
      <c r="G6666" s="1333"/>
      <c r="K6666" s="67"/>
    </row>
    <row r="6667" spans="7:11" ht="11.85" customHeight="1" x14ac:dyDescent="0.2">
      <c r="G6667" s="1333"/>
      <c r="K6667" s="67"/>
    </row>
    <row r="6668" spans="7:11" ht="11.85" customHeight="1" x14ac:dyDescent="0.2">
      <c r="G6668" s="1333"/>
      <c r="K6668" s="67"/>
    </row>
    <row r="6669" spans="7:11" ht="11.85" customHeight="1" x14ac:dyDescent="0.2">
      <c r="G6669" s="1333"/>
      <c r="K6669" s="67"/>
    </row>
    <row r="6670" spans="7:11" ht="11.85" customHeight="1" x14ac:dyDescent="0.2">
      <c r="G6670" s="1333"/>
      <c r="K6670" s="67"/>
    </row>
    <row r="6671" spans="7:11" ht="11.85" customHeight="1" x14ac:dyDescent="0.2">
      <c r="G6671" s="1333"/>
      <c r="K6671" s="67"/>
    </row>
    <row r="6672" spans="7:11" ht="11.85" customHeight="1" x14ac:dyDescent="0.2">
      <c r="G6672" s="1333"/>
      <c r="K6672" s="67"/>
    </row>
    <row r="6673" spans="7:11" ht="11.85" customHeight="1" x14ac:dyDescent="0.2">
      <c r="G6673" s="1333"/>
      <c r="K6673" s="67"/>
    </row>
    <row r="6674" spans="7:11" ht="11.85" customHeight="1" x14ac:dyDescent="0.2">
      <c r="G6674" s="1333"/>
      <c r="K6674" s="67"/>
    </row>
    <row r="6675" spans="7:11" ht="11.85" customHeight="1" x14ac:dyDescent="0.2">
      <c r="G6675" s="1333"/>
      <c r="K6675" s="67"/>
    </row>
    <row r="6676" spans="7:11" ht="11.85" customHeight="1" x14ac:dyDescent="0.2">
      <c r="G6676" s="1333"/>
      <c r="K6676" s="67"/>
    </row>
    <row r="6677" spans="7:11" ht="11.85" customHeight="1" x14ac:dyDescent="0.2">
      <c r="G6677" s="1333"/>
      <c r="K6677" s="67"/>
    </row>
    <row r="6678" spans="7:11" ht="11.85" customHeight="1" x14ac:dyDescent="0.2">
      <c r="G6678" s="1333"/>
      <c r="K6678" s="67"/>
    </row>
    <row r="6679" spans="7:11" ht="11.85" customHeight="1" x14ac:dyDescent="0.2">
      <c r="G6679" s="1333"/>
      <c r="K6679" s="67"/>
    </row>
    <row r="6680" spans="7:11" ht="11.85" customHeight="1" x14ac:dyDescent="0.2">
      <c r="G6680" s="1333"/>
      <c r="K6680" s="67"/>
    </row>
    <row r="6681" spans="7:11" ht="11.85" customHeight="1" x14ac:dyDescent="0.2">
      <c r="G6681" s="1333"/>
      <c r="K6681" s="67"/>
    </row>
    <row r="6682" spans="7:11" ht="11.85" customHeight="1" x14ac:dyDescent="0.2">
      <c r="G6682" s="1333"/>
      <c r="K6682" s="67"/>
    </row>
    <row r="6683" spans="7:11" ht="11.85" customHeight="1" x14ac:dyDescent="0.2">
      <c r="G6683" s="1333"/>
      <c r="K6683" s="67"/>
    </row>
    <row r="6684" spans="7:11" ht="11.85" customHeight="1" x14ac:dyDescent="0.2">
      <c r="G6684" s="1333"/>
      <c r="K6684" s="67"/>
    </row>
    <row r="6685" spans="7:11" ht="11.85" customHeight="1" x14ac:dyDescent="0.2">
      <c r="G6685" s="1333"/>
      <c r="K6685" s="67"/>
    </row>
    <row r="6686" spans="7:11" ht="11.85" customHeight="1" x14ac:dyDescent="0.2">
      <c r="G6686" s="1333"/>
      <c r="K6686" s="67"/>
    </row>
    <row r="6687" spans="7:11" ht="11.85" customHeight="1" x14ac:dyDescent="0.2">
      <c r="G6687" s="1333"/>
      <c r="K6687" s="67"/>
    </row>
    <row r="6688" spans="7:11" ht="11.85" customHeight="1" x14ac:dyDescent="0.2">
      <c r="G6688" s="1333"/>
      <c r="K6688" s="67"/>
    </row>
    <row r="6689" spans="7:11" ht="11.85" customHeight="1" x14ac:dyDescent="0.2">
      <c r="G6689" s="1333"/>
      <c r="K6689" s="67"/>
    </row>
    <row r="6690" spans="7:11" ht="11.85" customHeight="1" x14ac:dyDescent="0.2">
      <c r="G6690" s="1333"/>
      <c r="K6690" s="67"/>
    </row>
    <row r="6691" spans="7:11" ht="11.85" customHeight="1" x14ac:dyDescent="0.2">
      <c r="G6691" s="1333"/>
      <c r="K6691" s="67"/>
    </row>
    <row r="6692" spans="7:11" ht="11.85" customHeight="1" x14ac:dyDescent="0.2">
      <c r="G6692" s="1333"/>
      <c r="K6692" s="67"/>
    </row>
    <row r="6693" spans="7:11" ht="11.85" customHeight="1" x14ac:dyDescent="0.2">
      <c r="G6693" s="1333"/>
      <c r="K6693" s="67"/>
    </row>
    <row r="6694" spans="7:11" ht="11.85" customHeight="1" x14ac:dyDescent="0.2">
      <c r="G6694" s="1333"/>
      <c r="K6694" s="67"/>
    </row>
    <row r="6695" spans="7:11" ht="11.85" customHeight="1" x14ac:dyDescent="0.2">
      <c r="G6695" s="1333"/>
      <c r="K6695" s="67"/>
    </row>
    <row r="6696" spans="7:11" ht="11.85" customHeight="1" x14ac:dyDescent="0.2">
      <c r="G6696" s="1333"/>
      <c r="K6696" s="67"/>
    </row>
    <row r="6697" spans="7:11" ht="11.85" customHeight="1" x14ac:dyDescent="0.2">
      <c r="G6697" s="1333"/>
      <c r="K6697" s="67"/>
    </row>
    <row r="6698" spans="7:11" ht="11.85" customHeight="1" x14ac:dyDescent="0.2">
      <c r="G6698" s="1333"/>
      <c r="K6698" s="67"/>
    </row>
    <row r="6699" spans="7:11" ht="11.85" customHeight="1" x14ac:dyDescent="0.2">
      <c r="G6699" s="1333"/>
      <c r="K6699" s="67"/>
    </row>
    <row r="6700" spans="7:11" ht="11.85" customHeight="1" x14ac:dyDescent="0.2">
      <c r="G6700" s="1333"/>
      <c r="K6700" s="67"/>
    </row>
    <row r="6701" spans="7:11" ht="11.85" customHeight="1" x14ac:dyDescent="0.2">
      <c r="G6701" s="1333"/>
      <c r="K6701" s="67"/>
    </row>
    <row r="6702" spans="7:11" ht="11.85" customHeight="1" x14ac:dyDescent="0.2">
      <c r="G6702" s="1333"/>
      <c r="K6702" s="67"/>
    </row>
    <row r="6703" spans="7:11" ht="11.85" customHeight="1" x14ac:dyDescent="0.2">
      <c r="G6703" s="1333"/>
      <c r="K6703" s="67"/>
    </row>
    <row r="6704" spans="7:11" ht="11.85" customHeight="1" x14ac:dyDescent="0.2">
      <c r="G6704" s="1333"/>
      <c r="K6704" s="67"/>
    </row>
    <row r="6705" spans="7:11" ht="11.85" customHeight="1" x14ac:dyDescent="0.2">
      <c r="G6705" s="1333"/>
      <c r="K6705" s="67"/>
    </row>
    <row r="6706" spans="7:11" ht="11.85" customHeight="1" x14ac:dyDescent="0.2">
      <c r="G6706" s="1333"/>
      <c r="K6706" s="67"/>
    </row>
    <row r="6707" spans="7:11" ht="11.85" customHeight="1" x14ac:dyDescent="0.2">
      <c r="G6707" s="1333"/>
      <c r="K6707" s="67"/>
    </row>
    <row r="6708" spans="7:11" ht="11.85" customHeight="1" x14ac:dyDescent="0.2">
      <c r="G6708" s="1333"/>
      <c r="K6708" s="67"/>
    </row>
    <row r="6709" spans="7:11" ht="11.85" customHeight="1" x14ac:dyDescent="0.2">
      <c r="G6709" s="1333"/>
      <c r="K6709" s="67"/>
    </row>
    <row r="6710" spans="7:11" ht="11.85" customHeight="1" x14ac:dyDescent="0.2">
      <c r="G6710" s="1333"/>
      <c r="K6710" s="67"/>
    </row>
    <row r="6711" spans="7:11" ht="11.85" customHeight="1" x14ac:dyDescent="0.2">
      <c r="G6711" s="1333"/>
      <c r="K6711" s="67"/>
    </row>
    <row r="6712" spans="7:11" ht="11.85" customHeight="1" x14ac:dyDescent="0.2">
      <c r="G6712" s="1333"/>
      <c r="K6712" s="67"/>
    </row>
    <row r="6713" spans="7:11" ht="11.85" customHeight="1" x14ac:dyDescent="0.2">
      <c r="G6713" s="1333"/>
      <c r="K6713" s="67"/>
    </row>
    <row r="6714" spans="7:11" ht="11.85" customHeight="1" x14ac:dyDescent="0.2">
      <c r="G6714" s="1333"/>
      <c r="K6714" s="67"/>
    </row>
    <row r="6715" spans="7:11" ht="11.85" customHeight="1" x14ac:dyDescent="0.2">
      <c r="G6715" s="1333"/>
      <c r="K6715" s="67"/>
    </row>
    <row r="6716" spans="7:11" ht="11.85" customHeight="1" x14ac:dyDescent="0.2">
      <c r="G6716" s="1333"/>
      <c r="K6716" s="67"/>
    </row>
    <row r="6717" spans="7:11" ht="11.85" customHeight="1" x14ac:dyDescent="0.2">
      <c r="G6717" s="1333"/>
      <c r="K6717" s="67"/>
    </row>
    <row r="6718" spans="7:11" ht="11.85" customHeight="1" x14ac:dyDescent="0.2">
      <c r="G6718" s="1333"/>
      <c r="K6718" s="67"/>
    </row>
    <row r="6719" spans="7:11" ht="11.85" customHeight="1" x14ac:dyDescent="0.2">
      <c r="G6719" s="1333"/>
      <c r="K6719" s="67"/>
    </row>
    <row r="6720" spans="7:11" ht="11.85" customHeight="1" x14ac:dyDescent="0.2">
      <c r="G6720" s="1333"/>
      <c r="K6720" s="67"/>
    </row>
    <row r="6721" spans="7:11" ht="11.85" customHeight="1" x14ac:dyDescent="0.2">
      <c r="G6721" s="1333"/>
      <c r="K6721" s="67"/>
    </row>
    <row r="6722" spans="7:11" ht="11.85" customHeight="1" x14ac:dyDescent="0.2">
      <c r="G6722" s="1333"/>
      <c r="K6722" s="67"/>
    </row>
    <row r="6723" spans="7:11" ht="11.85" customHeight="1" x14ac:dyDescent="0.2">
      <c r="G6723" s="1333"/>
      <c r="K6723" s="67"/>
    </row>
    <row r="6724" spans="7:11" ht="11.85" customHeight="1" x14ac:dyDescent="0.2">
      <c r="G6724" s="1333"/>
      <c r="K6724" s="67"/>
    </row>
    <row r="6725" spans="7:11" ht="11.85" customHeight="1" x14ac:dyDescent="0.2">
      <c r="G6725" s="1333"/>
      <c r="K6725" s="67"/>
    </row>
    <row r="6726" spans="7:11" ht="11.85" customHeight="1" x14ac:dyDescent="0.2">
      <c r="G6726" s="1333"/>
      <c r="K6726" s="67"/>
    </row>
    <row r="6727" spans="7:11" ht="11.85" customHeight="1" x14ac:dyDescent="0.2">
      <c r="G6727" s="1333"/>
      <c r="K6727" s="67"/>
    </row>
    <row r="6728" spans="7:11" ht="11.85" customHeight="1" x14ac:dyDescent="0.2">
      <c r="G6728" s="1333"/>
      <c r="K6728" s="67"/>
    </row>
    <row r="6729" spans="7:11" ht="11.85" customHeight="1" x14ac:dyDescent="0.2">
      <c r="G6729" s="1333"/>
      <c r="K6729" s="67"/>
    </row>
    <row r="6730" spans="7:11" ht="11.85" customHeight="1" x14ac:dyDescent="0.2">
      <c r="G6730" s="1333"/>
      <c r="K6730" s="67"/>
    </row>
    <row r="6731" spans="7:11" ht="11.85" customHeight="1" x14ac:dyDescent="0.2">
      <c r="G6731" s="1333"/>
      <c r="K6731" s="67"/>
    </row>
    <row r="6732" spans="7:11" ht="11.85" customHeight="1" x14ac:dyDescent="0.2">
      <c r="G6732" s="1333"/>
      <c r="K6732" s="67"/>
    </row>
    <row r="6733" spans="7:11" ht="11.85" customHeight="1" x14ac:dyDescent="0.2">
      <c r="G6733" s="1333"/>
      <c r="K6733" s="67"/>
    </row>
    <row r="6734" spans="7:11" ht="11.85" customHeight="1" x14ac:dyDescent="0.2">
      <c r="G6734" s="1333"/>
      <c r="K6734" s="67"/>
    </row>
    <row r="6735" spans="7:11" ht="11.85" customHeight="1" x14ac:dyDescent="0.2">
      <c r="G6735" s="1333"/>
      <c r="K6735" s="67"/>
    </row>
    <row r="6736" spans="7:11" ht="11.85" customHeight="1" x14ac:dyDescent="0.2">
      <c r="G6736" s="1333"/>
      <c r="K6736" s="67"/>
    </row>
    <row r="6737" spans="7:11" ht="11.85" customHeight="1" x14ac:dyDescent="0.2">
      <c r="G6737" s="1333"/>
      <c r="K6737" s="67"/>
    </row>
    <row r="6738" spans="7:11" ht="11.85" customHeight="1" x14ac:dyDescent="0.2">
      <c r="G6738" s="1333"/>
      <c r="K6738" s="67"/>
    </row>
    <row r="6739" spans="7:11" ht="11.85" customHeight="1" x14ac:dyDescent="0.2">
      <c r="G6739" s="1333"/>
      <c r="K6739" s="67"/>
    </row>
    <row r="6740" spans="7:11" ht="11.85" customHeight="1" x14ac:dyDescent="0.2">
      <c r="G6740" s="1333"/>
      <c r="K6740" s="67"/>
    </row>
    <row r="6741" spans="7:11" ht="11.85" customHeight="1" x14ac:dyDescent="0.2">
      <c r="G6741" s="1333"/>
      <c r="K6741" s="67"/>
    </row>
    <row r="6742" spans="7:11" ht="11.85" customHeight="1" x14ac:dyDescent="0.2">
      <c r="G6742" s="1333"/>
      <c r="K6742" s="67"/>
    </row>
    <row r="6743" spans="7:11" ht="11.85" customHeight="1" x14ac:dyDescent="0.2">
      <c r="G6743" s="1333"/>
      <c r="K6743" s="67"/>
    </row>
    <row r="6744" spans="7:11" ht="11.85" customHeight="1" x14ac:dyDescent="0.2">
      <c r="G6744" s="1333"/>
      <c r="K6744" s="67"/>
    </row>
    <row r="6745" spans="7:11" ht="11.85" customHeight="1" x14ac:dyDescent="0.2">
      <c r="G6745" s="1333"/>
      <c r="K6745" s="67"/>
    </row>
    <row r="6746" spans="7:11" ht="11.85" customHeight="1" x14ac:dyDescent="0.2">
      <c r="G6746" s="1333"/>
      <c r="K6746" s="67"/>
    </row>
    <row r="6747" spans="7:11" ht="11.85" customHeight="1" x14ac:dyDescent="0.2">
      <c r="G6747" s="1333"/>
      <c r="K6747" s="67"/>
    </row>
    <row r="6748" spans="7:11" ht="11.85" customHeight="1" x14ac:dyDescent="0.2">
      <c r="G6748" s="1333"/>
      <c r="K6748" s="67"/>
    </row>
    <row r="6749" spans="7:11" ht="11.85" customHeight="1" x14ac:dyDescent="0.2">
      <c r="G6749" s="1333"/>
      <c r="K6749" s="67"/>
    </row>
    <row r="6750" spans="7:11" ht="11.85" customHeight="1" x14ac:dyDescent="0.2">
      <c r="G6750" s="1333"/>
      <c r="K6750" s="67"/>
    </row>
    <row r="6751" spans="7:11" ht="11.85" customHeight="1" x14ac:dyDescent="0.2">
      <c r="G6751" s="1333"/>
      <c r="K6751" s="67"/>
    </row>
    <row r="6752" spans="7:11" ht="11.85" customHeight="1" x14ac:dyDescent="0.2">
      <c r="G6752" s="1333"/>
      <c r="K6752" s="67"/>
    </row>
    <row r="6753" spans="7:11" ht="11.85" customHeight="1" x14ac:dyDescent="0.2">
      <c r="G6753" s="1333"/>
      <c r="K6753" s="67"/>
    </row>
    <row r="6754" spans="7:11" ht="11.85" customHeight="1" x14ac:dyDescent="0.2">
      <c r="G6754" s="1333"/>
      <c r="K6754" s="67"/>
    </row>
    <row r="6755" spans="7:11" ht="11.85" customHeight="1" x14ac:dyDescent="0.2">
      <c r="G6755" s="1333"/>
      <c r="K6755" s="67"/>
    </row>
    <row r="6756" spans="7:11" ht="11.85" customHeight="1" x14ac:dyDescent="0.2">
      <c r="G6756" s="1333"/>
      <c r="K6756" s="67"/>
    </row>
    <row r="6757" spans="7:11" ht="11.85" customHeight="1" x14ac:dyDescent="0.2">
      <c r="G6757" s="1333"/>
      <c r="K6757" s="67"/>
    </row>
    <row r="6758" spans="7:11" ht="11.85" customHeight="1" x14ac:dyDescent="0.2">
      <c r="G6758" s="1333"/>
      <c r="K6758" s="67"/>
    </row>
    <row r="6759" spans="7:11" ht="11.85" customHeight="1" x14ac:dyDescent="0.2">
      <c r="G6759" s="1333"/>
      <c r="K6759" s="67"/>
    </row>
    <row r="6760" spans="7:11" ht="11.85" customHeight="1" x14ac:dyDescent="0.2">
      <c r="G6760" s="1333"/>
      <c r="K6760" s="67"/>
    </row>
    <row r="6761" spans="7:11" ht="11.85" customHeight="1" x14ac:dyDescent="0.2">
      <c r="G6761" s="1333"/>
      <c r="K6761" s="67"/>
    </row>
    <row r="6762" spans="7:11" ht="11.85" customHeight="1" x14ac:dyDescent="0.2">
      <c r="G6762" s="1333"/>
      <c r="K6762" s="67"/>
    </row>
    <row r="6763" spans="7:11" ht="11.85" customHeight="1" x14ac:dyDescent="0.2">
      <c r="G6763" s="1333"/>
      <c r="K6763" s="67"/>
    </row>
    <row r="6764" spans="7:11" ht="11.85" customHeight="1" x14ac:dyDescent="0.2">
      <c r="G6764" s="1333"/>
      <c r="K6764" s="67"/>
    </row>
    <row r="6765" spans="7:11" ht="11.85" customHeight="1" x14ac:dyDescent="0.2">
      <c r="G6765" s="1333"/>
      <c r="K6765" s="67"/>
    </row>
    <row r="6766" spans="7:11" ht="11.85" customHeight="1" x14ac:dyDescent="0.2">
      <c r="G6766" s="1333"/>
      <c r="K6766" s="67"/>
    </row>
    <row r="6767" spans="7:11" ht="11.85" customHeight="1" x14ac:dyDescent="0.2">
      <c r="G6767" s="1333"/>
      <c r="K6767" s="67"/>
    </row>
    <row r="6768" spans="7:11" ht="11.85" customHeight="1" x14ac:dyDescent="0.2">
      <c r="G6768" s="1333"/>
      <c r="K6768" s="67"/>
    </row>
    <row r="6769" spans="7:11" ht="11.85" customHeight="1" x14ac:dyDescent="0.2">
      <c r="G6769" s="1333"/>
      <c r="K6769" s="67"/>
    </row>
    <row r="6770" spans="7:11" ht="11.85" customHeight="1" x14ac:dyDescent="0.2">
      <c r="G6770" s="1333"/>
      <c r="K6770" s="67"/>
    </row>
    <row r="6771" spans="7:11" ht="11.85" customHeight="1" x14ac:dyDescent="0.2">
      <c r="G6771" s="1333"/>
      <c r="K6771" s="67"/>
    </row>
    <row r="6772" spans="7:11" ht="11.85" customHeight="1" x14ac:dyDescent="0.2">
      <c r="G6772" s="1333"/>
      <c r="K6772" s="67"/>
    </row>
    <row r="6773" spans="7:11" ht="11.85" customHeight="1" x14ac:dyDescent="0.2">
      <c r="G6773" s="1333"/>
      <c r="K6773" s="67"/>
    </row>
    <row r="6774" spans="7:11" ht="11.85" customHeight="1" x14ac:dyDescent="0.2">
      <c r="G6774" s="1333"/>
      <c r="K6774" s="67"/>
    </row>
    <row r="6775" spans="7:11" ht="11.85" customHeight="1" x14ac:dyDescent="0.2">
      <c r="G6775" s="1333"/>
      <c r="K6775" s="67"/>
    </row>
    <row r="6776" spans="7:11" ht="11.85" customHeight="1" x14ac:dyDescent="0.2">
      <c r="G6776" s="1333"/>
      <c r="K6776" s="67"/>
    </row>
    <row r="6777" spans="7:11" ht="11.85" customHeight="1" x14ac:dyDescent="0.2">
      <c r="G6777" s="1333"/>
      <c r="K6777" s="67"/>
    </row>
    <row r="6778" spans="7:11" ht="11.85" customHeight="1" x14ac:dyDescent="0.2">
      <c r="G6778" s="1333"/>
      <c r="K6778" s="67"/>
    </row>
    <row r="6779" spans="7:11" ht="11.85" customHeight="1" x14ac:dyDescent="0.2">
      <c r="G6779" s="1333"/>
      <c r="K6779" s="67"/>
    </row>
    <row r="6780" spans="7:11" ht="11.85" customHeight="1" x14ac:dyDescent="0.2">
      <c r="G6780" s="1333"/>
      <c r="K6780" s="67"/>
    </row>
    <row r="6781" spans="7:11" ht="11.85" customHeight="1" x14ac:dyDescent="0.2">
      <c r="G6781" s="1333"/>
      <c r="K6781" s="67"/>
    </row>
    <row r="6782" spans="7:11" ht="11.85" customHeight="1" x14ac:dyDescent="0.2">
      <c r="G6782" s="1333"/>
      <c r="K6782" s="67"/>
    </row>
    <row r="6783" spans="7:11" ht="11.85" customHeight="1" x14ac:dyDescent="0.2">
      <c r="G6783" s="1333"/>
      <c r="K6783" s="67"/>
    </row>
    <row r="6784" spans="7:11" ht="11.85" customHeight="1" x14ac:dyDescent="0.2">
      <c r="G6784" s="1333"/>
      <c r="K6784" s="67"/>
    </row>
    <row r="6785" spans="7:11" ht="11.85" customHeight="1" x14ac:dyDescent="0.2">
      <c r="G6785" s="1333"/>
      <c r="K6785" s="67"/>
    </row>
    <row r="6786" spans="7:11" ht="11.85" customHeight="1" x14ac:dyDescent="0.2">
      <c r="G6786" s="1333"/>
      <c r="K6786" s="67"/>
    </row>
    <row r="6787" spans="7:11" ht="11.85" customHeight="1" x14ac:dyDescent="0.2">
      <c r="G6787" s="1333"/>
      <c r="K6787" s="67"/>
    </row>
    <row r="6788" spans="7:11" ht="11.85" customHeight="1" x14ac:dyDescent="0.2">
      <c r="G6788" s="1333"/>
      <c r="K6788" s="67"/>
    </row>
    <row r="6789" spans="7:11" ht="11.85" customHeight="1" x14ac:dyDescent="0.2">
      <c r="G6789" s="1333"/>
      <c r="K6789" s="67"/>
    </row>
    <row r="6790" spans="7:11" ht="11.85" customHeight="1" x14ac:dyDescent="0.2">
      <c r="G6790" s="1333"/>
      <c r="K6790" s="67"/>
    </row>
    <row r="6791" spans="7:11" ht="11.85" customHeight="1" x14ac:dyDescent="0.2">
      <c r="G6791" s="1333"/>
      <c r="K6791" s="67"/>
    </row>
    <row r="6792" spans="7:11" ht="11.85" customHeight="1" x14ac:dyDescent="0.2">
      <c r="G6792" s="1333"/>
      <c r="K6792" s="67"/>
    </row>
    <row r="6793" spans="7:11" ht="11.85" customHeight="1" x14ac:dyDescent="0.2">
      <c r="G6793" s="1333"/>
      <c r="K6793" s="67"/>
    </row>
    <row r="6794" spans="7:11" ht="11.85" customHeight="1" x14ac:dyDescent="0.2">
      <c r="G6794" s="1333"/>
      <c r="K6794" s="67"/>
    </row>
    <row r="6795" spans="7:11" ht="11.85" customHeight="1" x14ac:dyDescent="0.2">
      <c r="G6795" s="1333"/>
      <c r="K6795" s="67"/>
    </row>
    <row r="6796" spans="7:11" ht="11.85" customHeight="1" x14ac:dyDescent="0.2">
      <c r="G6796" s="1333"/>
      <c r="K6796" s="67"/>
    </row>
    <row r="6797" spans="7:11" ht="11.85" customHeight="1" x14ac:dyDescent="0.2">
      <c r="G6797" s="1333"/>
      <c r="K6797" s="67"/>
    </row>
    <row r="6798" spans="7:11" ht="11.85" customHeight="1" x14ac:dyDescent="0.2">
      <c r="G6798" s="1333"/>
      <c r="K6798" s="67"/>
    </row>
    <row r="6799" spans="7:11" ht="11.85" customHeight="1" x14ac:dyDescent="0.2">
      <c r="G6799" s="1333"/>
      <c r="K6799" s="67"/>
    </row>
    <row r="6800" spans="7:11" ht="11.85" customHeight="1" x14ac:dyDescent="0.2">
      <c r="G6800" s="1333"/>
      <c r="K6800" s="67"/>
    </row>
    <row r="6801" spans="7:11" ht="11.85" customHeight="1" x14ac:dyDescent="0.2">
      <c r="G6801" s="1333"/>
      <c r="K6801" s="67"/>
    </row>
    <row r="6802" spans="7:11" ht="11.85" customHeight="1" x14ac:dyDescent="0.2">
      <c r="G6802" s="1333"/>
      <c r="K6802" s="67"/>
    </row>
    <row r="6803" spans="7:11" ht="11.85" customHeight="1" x14ac:dyDescent="0.2">
      <c r="G6803" s="1333"/>
      <c r="K6803" s="67"/>
    </row>
    <row r="6804" spans="7:11" ht="11.85" customHeight="1" x14ac:dyDescent="0.2">
      <c r="G6804" s="1333"/>
      <c r="K6804" s="67"/>
    </row>
    <row r="6805" spans="7:11" ht="11.85" customHeight="1" x14ac:dyDescent="0.2">
      <c r="G6805" s="1333"/>
      <c r="K6805" s="67"/>
    </row>
    <row r="6806" spans="7:11" ht="11.85" customHeight="1" x14ac:dyDescent="0.2">
      <c r="G6806" s="1333"/>
      <c r="K6806" s="67"/>
    </row>
    <row r="6807" spans="7:11" ht="11.85" customHeight="1" x14ac:dyDescent="0.2">
      <c r="G6807" s="1333"/>
      <c r="K6807" s="67"/>
    </row>
    <row r="6808" spans="7:11" ht="11.85" customHeight="1" x14ac:dyDescent="0.2">
      <c r="G6808" s="1333"/>
      <c r="K6808" s="67"/>
    </row>
    <row r="6809" spans="7:11" ht="11.85" customHeight="1" x14ac:dyDescent="0.2">
      <c r="G6809" s="1333"/>
      <c r="K6809" s="67"/>
    </row>
    <row r="6810" spans="7:11" ht="11.85" customHeight="1" x14ac:dyDescent="0.2">
      <c r="G6810" s="1333"/>
      <c r="K6810" s="67"/>
    </row>
    <row r="6811" spans="7:11" ht="11.85" customHeight="1" x14ac:dyDescent="0.2">
      <c r="G6811" s="1333"/>
      <c r="K6811" s="67"/>
    </row>
    <row r="6812" spans="7:11" ht="11.85" customHeight="1" x14ac:dyDescent="0.2">
      <c r="G6812" s="1333"/>
      <c r="K6812" s="67"/>
    </row>
    <row r="6813" spans="7:11" ht="11.85" customHeight="1" x14ac:dyDescent="0.2">
      <c r="G6813" s="1333"/>
      <c r="K6813" s="67"/>
    </row>
    <row r="6814" spans="7:11" ht="11.85" customHeight="1" x14ac:dyDescent="0.2">
      <c r="G6814" s="1333"/>
      <c r="K6814" s="67"/>
    </row>
    <row r="6815" spans="7:11" ht="11.85" customHeight="1" x14ac:dyDescent="0.2">
      <c r="G6815" s="1333"/>
      <c r="K6815" s="67"/>
    </row>
    <row r="6816" spans="7:11" ht="11.85" customHeight="1" x14ac:dyDescent="0.2">
      <c r="G6816" s="1333"/>
      <c r="K6816" s="67"/>
    </row>
    <row r="6817" spans="7:11" ht="11.85" customHeight="1" x14ac:dyDescent="0.2">
      <c r="G6817" s="1333"/>
      <c r="K6817" s="67"/>
    </row>
    <row r="6818" spans="7:11" ht="11.85" customHeight="1" x14ac:dyDescent="0.2">
      <c r="G6818" s="1333"/>
      <c r="K6818" s="67"/>
    </row>
    <row r="6819" spans="7:11" ht="11.85" customHeight="1" x14ac:dyDescent="0.2">
      <c r="G6819" s="1333"/>
      <c r="K6819" s="67"/>
    </row>
    <row r="6820" spans="7:11" ht="11.85" customHeight="1" x14ac:dyDescent="0.2">
      <c r="G6820" s="1333"/>
      <c r="K6820" s="67"/>
    </row>
    <row r="6821" spans="7:11" ht="11.85" customHeight="1" x14ac:dyDescent="0.2">
      <c r="G6821" s="1333"/>
      <c r="K6821" s="67"/>
    </row>
    <row r="6822" spans="7:11" ht="11.85" customHeight="1" x14ac:dyDescent="0.2">
      <c r="G6822" s="1333"/>
      <c r="K6822" s="67"/>
    </row>
    <row r="6823" spans="7:11" ht="11.85" customHeight="1" x14ac:dyDescent="0.2">
      <c r="G6823" s="1333"/>
      <c r="K6823" s="67"/>
    </row>
    <row r="6824" spans="7:11" ht="11.85" customHeight="1" x14ac:dyDescent="0.2">
      <c r="G6824" s="1333"/>
      <c r="K6824" s="67"/>
    </row>
    <row r="6825" spans="7:11" ht="11.85" customHeight="1" x14ac:dyDescent="0.2">
      <c r="G6825" s="1333"/>
      <c r="K6825" s="67"/>
    </row>
    <row r="6826" spans="7:11" ht="11.85" customHeight="1" x14ac:dyDescent="0.2">
      <c r="G6826" s="1333"/>
      <c r="K6826" s="67"/>
    </row>
    <row r="6827" spans="7:11" ht="11.85" customHeight="1" x14ac:dyDescent="0.2">
      <c r="G6827" s="1333"/>
      <c r="K6827" s="67"/>
    </row>
    <row r="6828" spans="7:11" ht="11.85" customHeight="1" x14ac:dyDescent="0.2">
      <c r="G6828" s="1333"/>
      <c r="K6828" s="67"/>
    </row>
    <row r="6829" spans="7:11" ht="11.85" customHeight="1" x14ac:dyDescent="0.2">
      <c r="G6829" s="1333"/>
      <c r="K6829" s="67"/>
    </row>
    <row r="6830" spans="7:11" ht="11.85" customHeight="1" x14ac:dyDescent="0.2">
      <c r="G6830" s="1333"/>
      <c r="K6830" s="67"/>
    </row>
    <row r="6831" spans="7:11" ht="11.85" customHeight="1" x14ac:dyDescent="0.2">
      <c r="G6831" s="1333"/>
      <c r="K6831" s="67"/>
    </row>
    <row r="6832" spans="7:11" ht="11.85" customHeight="1" x14ac:dyDescent="0.2">
      <c r="G6832" s="1333"/>
      <c r="K6832" s="67"/>
    </row>
    <row r="6833" spans="7:11" ht="11.85" customHeight="1" x14ac:dyDescent="0.2">
      <c r="G6833" s="1333"/>
      <c r="K6833" s="67"/>
    </row>
    <row r="6834" spans="7:11" ht="11.85" customHeight="1" x14ac:dyDescent="0.2">
      <c r="G6834" s="1333"/>
      <c r="K6834" s="67"/>
    </row>
    <row r="6835" spans="7:11" ht="11.85" customHeight="1" x14ac:dyDescent="0.2">
      <c r="G6835" s="1333"/>
      <c r="K6835" s="67"/>
    </row>
    <row r="6836" spans="7:11" ht="11.85" customHeight="1" x14ac:dyDescent="0.2">
      <c r="G6836" s="1333"/>
      <c r="K6836" s="67"/>
    </row>
    <row r="6837" spans="7:11" ht="11.85" customHeight="1" x14ac:dyDescent="0.2">
      <c r="G6837" s="1333"/>
      <c r="K6837" s="67"/>
    </row>
    <row r="6838" spans="7:11" ht="11.85" customHeight="1" x14ac:dyDescent="0.2">
      <c r="G6838" s="1333"/>
      <c r="K6838" s="67"/>
    </row>
    <row r="6839" spans="7:11" ht="11.85" customHeight="1" x14ac:dyDescent="0.2">
      <c r="G6839" s="1333"/>
      <c r="K6839" s="67"/>
    </row>
    <row r="6840" spans="7:11" ht="11.85" customHeight="1" x14ac:dyDescent="0.2">
      <c r="G6840" s="1333"/>
      <c r="K6840" s="67"/>
    </row>
    <row r="6841" spans="7:11" ht="11.85" customHeight="1" x14ac:dyDescent="0.2">
      <c r="G6841" s="1333"/>
      <c r="K6841" s="67"/>
    </row>
    <row r="6842" spans="7:11" ht="11.85" customHeight="1" x14ac:dyDescent="0.2">
      <c r="G6842" s="1333"/>
      <c r="K6842" s="67"/>
    </row>
    <row r="6843" spans="7:11" ht="11.85" customHeight="1" x14ac:dyDescent="0.2">
      <c r="G6843" s="1333"/>
      <c r="K6843" s="67"/>
    </row>
    <row r="6844" spans="7:11" ht="11.85" customHeight="1" x14ac:dyDescent="0.2">
      <c r="G6844" s="1333"/>
      <c r="K6844" s="67"/>
    </row>
    <row r="6845" spans="7:11" ht="11.85" customHeight="1" x14ac:dyDescent="0.2">
      <c r="G6845" s="1333"/>
      <c r="K6845" s="67"/>
    </row>
    <row r="6846" spans="7:11" ht="11.85" customHeight="1" x14ac:dyDescent="0.2">
      <c r="G6846" s="1333"/>
      <c r="K6846" s="67"/>
    </row>
    <row r="6847" spans="7:11" ht="11.85" customHeight="1" x14ac:dyDescent="0.2">
      <c r="G6847" s="1333"/>
      <c r="K6847" s="67"/>
    </row>
    <row r="6848" spans="7:11" ht="11.85" customHeight="1" x14ac:dyDescent="0.2">
      <c r="G6848" s="1333"/>
      <c r="K6848" s="67"/>
    </row>
    <row r="6849" spans="7:11" ht="11.85" customHeight="1" x14ac:dyDescent="0.2">
      <c r="G6849" s="1333"/>
      <c r="K6849" s="67"/>
    </row>
    <row r="6850" spans="7:11" ht="11.85" customHeight="1" x14ac:dyDescent="0.2">
      <c r="G6850" s="1333"/>
      <c r="K6850" s="67"/>
    </row>
    <row r="6851" spans="7:11" ht="11.85" customHeight="1" x14ac:dyDescent="0.2">
      <c r="G6851" s="1333"/>
      <c r="K6851" s="67"/>
    </row>
    <row r="6852" spans="7:11" ht="11.85" customHeight="1" x14ac:dyDescent="0.2">
      <c r="G6852" s="1333"/>
      <c r="K6852" s="67"/>
    </row>
    <row r="6853" spans="7:11" ht="11.85" customHeight="1" x14ac:dyDescent="0.2">
      <c r="G6853" s="1333"/>
      <c r="K6853" s="67"/>
    </row>
    <row r="6854" spans="7:11" ht="11.85" customHeight="1" x14ac:dyDescent="0.2">
      <c r="G6854" s="1333"/>
      <c r="K6854" s="67"/>
    </row>
    <row r="6855" spans="7:11" ht="11.85" customHeight="1" x14ac:dyDescent="0.2">
      <c r="G6855" s="1333"/>
      <c r="K6855" s="67"/>
    </row>
    <row r="6856" spans="7:11" ht="11.85" customHeight="1" x14ac:dyDescent="0.2">
      <c r="G6856" s="1333"/>
      <c r="K6856" s="67"/>
    </row>
    <row r="6857" spans="7:11" ht="11.85" customHeight="1" x14ac:dyDescent="0.2">
      <c r="G6857" s="1333"/>
      <c r="K6857" s="67"/>
    </row>
    <row r="6858" spans="7:11" ht="11.85" customHeight="1" x14ac:dyDescent="0.2">
      <c r="G6858" s="1333"/>
      <c r="K6858" s="67"/>
    </row>
    <row r="6859" spans="7:11" ht="11.85" customHeight="1" x14ac:dyDescent="0.2">
      <c r="G6859" s="1333"/>
      <c r="K6859" s="67"/>
    </row>
    <row r="6860" spans="7:11" ht="11.85" customHeight="1" x14ac:dyDescent="0.2">
      <c r="G6860" s="1333"/>
      <c r="K6860" s="67"/>
    </row>
    <row r="6861" spans="7:11" ht="11.85" customHeight="1" x14ac:dyDescent="0.2">
      <c r="G6861" s="1333"/>
      <c r="K6861" s="67"/>
    </row>
    <row r="6862" spans="7:11" ht="11.85" customHeight="1" x14ac:dyDescent="0.2">
      <c r="G6862" s="1333"/>
      <c r="K6862" s="67"/>
    </row>
    <row r="6863" spans="7:11" ht="11.85" customHeight="1" x14ac:dyDescent="0.2">
      <c r="G6863" s="1333"/>
      <c r="K6863" s="67"/>
    </row>
    <row r="6864" spans="7:11" ht="11.85" customHeight="1" x14ac:dyDescent="0.2">
      <c r="G6864" s="1333"/>
      <c r="K6864" s="67"/>
    </row>
    <row r="6865" spans="7:11" ht="11.85" customHeight="1" x14ac:dyDescent="0.2">
      <c r="G6865" s="1333"/>
      <c r="K6865" s="67"/>
    </row>
    <row r="6866" spans="7:11" ht="11.85" customHeight="1" x14ac:dyDescent="0.2">
      <c r="G6866" s="1333"/>
      <c r="K6866" s="67"/>
    </row>
    <row r="6867" spans="7:11" ht="11.85" customHeight="1" x14ac:dyDescent="0.2">
      <c r="G6867" s="1333"/>
      <c r="K6867" s="67"/>
    </row>
    <row r="6868" spans="7:11" ht="11.85" customHeight="1" x14ac:dyDescent="0.2">
      <c r="G6868" s="1333"/>
      <c r="K6868" s="67"/>
    </row>
    <row r="6869" spans="7:11" ht="11.85" customHeight="1" x14ac:dyDescent="0.2">
      <c r="G6869" s="1333"/>
      <c r="K6869" s="67"/>
    </row>
    <row r="6870" spans="7:11" ht="11.85" customHeight="1" x14ac:dyDescent="0.2">
      <c r="G6870" s="1333"/>
      <c r="K6870" s="67"/>
    </row>
    <row r="6871" spans="7:11" ht="11.85" customHeight="1" x14ac:dyDescent="0.2">
      <c r="G6871" s="1333"/>
      <c r="K6871" s="67"/>
    </row>
    <row r="6872" spans="7:11" ht="11.85" customHeight="1" x14ac:dyDescent="0.2">
      <c r="G6872" s="1333"/>
      <c r="K6872" s="67"/>
    </row>
    <row r="6873" spans="7:11" ht="11.85" customHeight="1" x14ac:dyDescent="0.2">
      <c r="G6873" s="1333"/>
      <c r="K6873" s="67"/>
    </row>
    <row r="6874" spans="7:11" ht="11.85" customHeight="1" x14ac:dyDescent="0.2">
      <c r="G6874" s="1333"/>
      <c r="K6874" s="67"/>
    </row>
    <row r="6875" spans="7:11" ht="11.85" customHeight="1" x14ac:dyDescent="0.2">
      <c r="G6875" s="1333"/>
      <c r="K6875" s="67"/>
    </row>
    <row r="6876" spans="7:11" ht="11.85" customHeight="1" x14ac:dyDescent="0.2">
      <c r="G6876" s="1333"/>
      <c r="K6876" s="67"/>
    </row>
    <row r="6877" spans="7:11" ht="11.85" customHeight="1" x14ac:dyDescent="0.2">
      <c r="G6877" s="1333"/>
      <c r="K6877" s="67"/>
    </row>
    <row r="6878" spans="7:11" ht="11.85" customHeight="1" x14ac:dyDescent="0.2">
      <c r="G6878" s="1333"/>
      <c r="K6878" s="67"/>
    </row>
    <row r="6879" spans="7:11" ht="11.85" customHeight="1" x14ac:dyDescent="0.2">
      <c r="G6879" s="1333"/>
      <c r="K6879" s="67"/>
    </row>
    <row r="6880" spans="7:11" ht="11.85" customHeight="1" x14ac:dyDescent="0.2">
      <c r="G6880" s="1333"/>
      <c r="K6880" s="67"/>
    </row>
    <row r="6881" spans="7:11" ht="11.85" customHeight="1" x14ac:dyDescent="0.2">
      <c r="G6881" s="1333"/>
      <c r="K6881" s="67"/>
    </row>
    <row r="6882" spans="7:11" ht="11.85" customHeight="1" x14ac:dyDescent="0.2">
      <c r="G6882" s="1333"/>
      <c r="K6882" s="67"/>
    </row>
    <row r="6883" spans="7:11" ht="11.85" customHeight="1" x14ac:dyDescent="0.2">
      <c r="G6883" s="1333"/>
      <c r="K6883" s="67"/>
    </row>
    <row r="6884" spans="7:11" ht="11.85" customHeight="1" x14ac:dyDescent="0.2">
      <c r="G6884" s="1333"/>
      <c r="K6884" s="67"/>
    </row>
    <row r="6885" spans="7:11" ht="11.85" customHeight="1" x14ac:dyDescent="0.2">
      <c r="G6885" s="1333"/>
      <c r="K6885" s="67"/>
    </row>
    <row r="6886" spans="7:11" ht="11.85" customHeight="1" x14ac:dyDescent="0.2">
      <c r="G6886" s="1333"/>
      <c r="K6886" s="67"/>
    </row>
    <row r="6887" spans="7:11" ht="11.85" customHeight="1" x14ac:dyDescent="0.2">
      <c r="G6887" s="1333"/>
      <c r="K6887" s="67"/>
    </row>
    <row r="6888" spans="7:11" ht="11.85" customHeight="1" x14ac:dyDescent="0.2">
      <c r="G6888" s="1333"/>
      <c r="K6888" s="67"/>
    </row>
    <row r="6889" spans="7:11" ht="11.85" customHeight="1" x14ac:dyDescent="0.2">
      <c r="G6889" s="1333"/>
      <c r="K6889" s="67"/>
    </row>
    <row r="6890" spans="7:11" ht="11.85" customHeight="1" x14ac:dyDescent="0.2">
      <c r="G6890" s="1333"/>
      <c r="K6890" s="67"/>
    </row>
    <row r="6891" spans="7:11" ht="11.85" customHeight="1" x14ac:dyDescent="0.2">
      <c r="G6891" s="1333"/>
      <c r="K6891" s="67"/>
    </row>
    <row r="6892" spans="7:11" ht="11.85" customHeight="1" x14ac:dyDescent="0.2">
      <c r="G6892" s="1333"/>
      <c r="K6892" s="67"/>
    </row>
    <row r="6893" spans="7:11" ht="11.85" customHeight="1" x14ac:dyDescent="0.2">
      <c r="G6893" s="1333"/>
      <c r="K6893" s="67"/>
    </row>
    <row r="6894" spans="7:11" ht="11.85" customHeight="1" x14ac:dyDescent="0.2">
      <c r="G6894" s="1333"/>
      <c r="K6894" s="67"/>
    </row>
    <row r="6895" spans="7:11" ht="11.85" customHeight="1" x14ac:dyDescent="0.2">
      <c r="G6895" s="1333"/>
      <c r="K6895" s="67"/>
    </row>
    <row r="6896" spans="7:11" ht="11.85" customHeight="1" x14ac:dyDescent="0.2">
      <c r="G6896" s="1333"/>
      <c r="K6896" s="67"/>
    </row>
    <row r="6897" spans="7:11" ht="11.85" customHeight="1" x14ac:dyDescent="0.2">
      <c r="G6897" s="1333"/>
      <c r="K6897" s="67"/>
    </row>
    <row r="6898" spans="7:11" ht="11.85" customHeight="1" x14ac:dyDescent="0.2">
      <c r="G6898" s="1333"/>
      <c r="K6898" s="67"/>
    </row>
    <row r="6899" spans="7:11" ht="11.85" customHeight="1" x14ac:dyDescent="0.2">
      <c r="G6899" s="1333"/>
      <c r="K6899" s="67"/>
    </row>
    <row r="6900" spans="7:11" ht="11.85" customHeight="1" x14ac:dyDescent="0.2">
      <c r="G6900" s="1333"/>
      <c r="K6900" s="67"/>
    </row>
    <row r="6901" spans="7:11" ht="11.85" customHeight="1" x14ac:dyDescent="0.2">
      <c r="G6901" s="1333"/>
      <c r="K6901" s="67"/>
    </row>
    <row r="6902" spans="7:11" ht="11.85" customHeight="1" x14ac:dyDescent="0.2">
      <c r="G6902" s="1333"/>
      <c r="K6902" s="67"/>
    </row>
    <row r="6903" spans="7:11" ht="11.85" customHeight="1" x14ac:dyDescent="0.2">
      <c r="G6903" s="1333"/>
      <c r="K6903" s="67"/>
    </row>
    <row r="6904" spans="7:11" ht="11.85" customHeight="1" x14ac:dyDescent="0.2">
      <c r="G6904" s="1333"/>
      <c r="K6904" s="67"/>
    </row>
    <row r="6905" spans="7:11" ht="11.85" customHeight="1" x14ac:dyDescent="0.2">
      <c r="G6905" s="1333"/>
      <c r="K6905" s="67"/>
    </row>
    <row r="6906" spans="7:11" ht="11.85" customHeight="1" x14ac:dyDescent="0.2">
      <c r="G6906" s="1333"/>
      <c r="K6906" s="67"/>
    </row>
    <row r="6907" spans="7:11" ht="11.85" customHeight="1" x14ac:dyDescent="0.2">
      <c r="G6907" s="1333"/>
      <c r="K6907" s="67"/>
    </row>
    <row r="6908" spans="7:11" ht="11.85" customHeight="1" x14ac:dyDescent="0.2">
      <c r="G6908" s="1333"/>
      <c r="K6908" s="67"/>
    </row>
    <row r="6909" spans="7:11" ht="11.85" customHeight="1" x14ac:dyDescent="0.2">
      <c r="G6909" s="1333"/>
      <c r="K6909" s="67"/>
    </row>
    <row r="6910" spans="7:11" ht="11.85" customHeight="1" x14ac:dyDescent="0.2">
      <c r="G6910" s="1333"/>
      <c r="K6910" s="67"/>
    </row>
    <row r="6911" spans="7:11" ht="11.85" customHeight="1" x14ac:dyDescent="0.2">
      <c r="G6911" s="1333"/>
      <c r="K6911" s="67"/>
    </row>
    <row r="6912" spans="7:11" ht="11.85" customHeight="1" x14ac:dyDescent="0.2">
      <c r="G6912" s="1333"/>
      <c r="K6912" s="67"/>
    </row>
    <row r="6913" spans="7:11" ht="11.85" customHeight="1" x14ac:dyDescent="0.2">
      <c r="G6913" s="1333"/>
      <c r="K6913" s="67"/>
    </row>
    <row r="6914" spans="7:11" ht="11.85" customHeight="1" x14ac:dyDescent="0.2">
      <c r="G6914" s="1333"/>
      <c r="K6914" s="67"/>
    </row>
    <row r="6915" spans="7:11" ht="11.85" customHeight="1" x14ac:dyDescent="0.2">
      <c r="G6915" s="1333"/>
      <c r="K6915" s="67"/>
    </row>
    <row r="6916" spans="7:11" ht="11.85" customHeight="1" x14ac:dyDescent="0.2">
      <c r="G6916" s="1333"/>
      <c r="K6916" s="67"/>
    </row>
    <row r="6917" spans="7:11" ht="11.85" customHeight="1" x14ac:dyDescent="0.2">
      <c r="G6917" s="1333"/>
      <c r="K6917" s="67"/>
    </row>
    <row r="6918" spans="7:11" ht="11.85" customHeight="1" x14ac:dyDescent="0.2">
      <c r="G6918" s="1333"/>
      <c r="K6918" s="67"/>
    </row>
    <row r="6919" spans="7:11" ht="11.85" customHeight="1" x14ac:dyDescent="0.2">
      <c r="G6919" s="1333"/>
      <c r="K6919" s="67"/>
    </row>
    <row r="6920" spans="7:11" ht="11.85" customHeight="1" x14ac:dyDescent="0.2">
      <c r="G6920" s="1333"/>
      <c r="K6920" s="67"/>
    </row>
    <row r="6921" spans="7:11" ht="11.85" customHeight="1" x14ac:dyDescent="0.2">
      <c r="G6921" s="1333"/>
      <c r="K6921" s="67"/>
    </row>
    <row r="6922" spans="7:11" ht="11.85" customHeight="1" x14ac:dyDescent="0.2">
      <c r="G6922" s="1333"/>
      <c r="K6922" s="67"/>
    </row>
    <row r="6923" spans="7:11" ht="11.85" customHeight="1" x14ac:dyDescent="0.2">
      <c r="G6923" s="1333"/>
      <c r="K6923" s="67"/>
    </row>
    <row r="6924" spans="7:11" ht="11.85" customHeight="1" x14ac:dyDescent="0.2">
      <c r="G6924" s="1333"/>
      <c r="K6924" s="67"/>
    </row>
    <row r="6925" spans="7:11" ht="11.85" customHeight="1" x14ac:dyDescent="0.2">
      <c r="G6925" s="1333"/>
      <c r="K6925" s="67"/>
    </row>
    <row r="6926" spans="7:11" ht="11.85" customHeight="1" x14ac:dyDescent="0.2">
      <c r="G6926" s="1333"/>
      <c r="K6926" s="67"/>
    </row>
    <row r="6927" spans="7:11" ht="11.85" customHeight="1" x14ac:dyDescent="0.2">
      <c r="G6927" s="1333"/>
      <c r="K6927" s="67"/>
    </row>
    <row r="6928" spans="7:11" ht="11.85" customHeight="1" x14ac:dyDescent="0.2">
      <c r="G6928" s="1333"/>
      <c r="K6928" s="67"/>
    </row>
    <row r="6929" spans="7:11" ht="11.85" customHeight="1" x14ac:dyDescent="0.2">
      <c r="G6929" s="1333"/>
      <c r="K6929" s="67"/>
    </row>
    <row r="6930" spans="7:11" ht="11.85" customHeight="1" x14ac:dyDescent="0.2">
      <c r="G6930" s="1333"/>
      <c r="K6930" s="67"/>
    </row>
    <row r="6931" spans="7:11" ht="11.85" customHeight="1" x14ac:dyDescent="0.2">
      <c r="G6931" s="1333"/>
      <c r="K6931" s="67"/>
    </row>
    <row r="6932" spans="7:11" ht="11.85" customHeight="1" x14ac:dyDescent="0.2">
      <c r="G6932" s="1333"/>
      <c r="K6932" s="67"/>
    </row>
    <row r="6933" spans="7:11" ht="11.85" customHeight="1" x14ac:dyDescent="0.2">
      <c r="G6933" s="1333"/>
      <c r="K6933" s="67"/>
    </row>
    <row r="6934" spans="7:11" ht="11.85" customHeight="1" x14ac:dyDescent="0.2">
      <c r="G6934" s="1333"/>
      <c r="K6934" s="67"/>
    </row>
    <row r="6935" spans="7:11" ht="11.85" customHeight="1" x14ac:dyDescent="0.2">
      <c r="G6935" s="1333"/>
      <c r="K6935" s="67"/>
    </row>
    <row r="6936" spans="7:11" ht="11.85" customHeight="1" x14ac:dyDescent="0.2">
      <c r="G6936" s="1333"/>
      <c r="K6936" s="67"/>
    </row>
    <row r="6937" spans="7:11" ht="11.85" customHeight="1" x14ac:dyDescent="0.2">
      <c r="G6937" s="1333"/>
      <c r="K6937" s="67"/>
    </row>
    <row r="6938" spans="7:11" ht="11.85" customHeight="1" x14ac:dyDescent="0.2">
      <c r="G6938" s="1333"/>
      <c r="K6938" s="67"/>
    </row>
    <row r="6939" spans="7:11" ht="11.85" customHeight="1" x14ac:dyDescent="0.2">
      <c r="G6939" s="1333"/>
      <c r="K6939" s="67"/>
    </row>
    <row r="6940" spans="7:11" ht="11.85" customHeight="1" x14ac:dyDescent="0.2">
      <c r="G6940" s="1333"/>
      <c r="K6940" s="67"/>
    </row>
    <row r="6941" spans="7:11" ht="11.85" customHeight="1" x14ac:dyDescent="0.2">
      <c r="G6941" s="1333"/>
      <c r="K6941" s="67"/>
    </row>
    <row r="6942" spans="7:11" ht="11.85" customHeight="1" x14ac:dyDescent="0.2">
      <c r="G6942" s="1333"/>
      <c r="K6942" s="67"/>
    </row>
    <row r="6943" spans="7:11" ht="11.85" customHeight="1" x14ac:dyDescent="0.2">
      <c r="G6943" s="1333"/>
      <c r="K6943" s="67"/>
    </row>
    <row r="6944" spans="7:11" ht="11.85" customHeight="1" x14ac:dyDescent="0.2">
      <c r="G6944" s="1333"/>
      <c r="K6944" s="67"/>
    </row>
    <row r="6945" spans="7:11" ht="11.85" customHeight="1" x14ac:dyDescent="0.2">
      <c r="G6945" s="1333"/>
      <c r="K6945" s="67"/>
    </row>
    <row r="6946" spans="7:11" ht="11.85" customHeight="1" x14ac:dyDescent="0.2">
      <c r="G6946" s="1333"/>
      <c r="K6946" s="67"/>
    </row>
    <row r="6947" spans="7:11" ht="11.85" customHeight="1" x14ac:dyDescent="0.2">
      <c r="G6947" s="1333"/>
      <c r="K6947" s="67"/>
    </row>
    <row r="6948" spans="7:11" ht="11.85" customHeight="1" x14ac:dyDescent="0.2">
      <c r="G6948" s="1333"/>
      <c r="K6948" s="67"/>
    </row>
    <row r="6949" spans="7:11" ht="11.85" customHeight="1" x14ac:dyDescent="0.2">
      <c r="G6949" s="1333"/>
      <c r="K6949" s="67"/>
    </row>
    <row r="6950" spans="7:11" ht="11.85" customHeight="1" x14ac:dyDescent="0.2">
      <c r="G6950" s="1333"/>
      <c r="K6950" s="67"/>
    </row>
    <row r="6951" spans="7:11" ht="11.85" customHeight="1" x14ac:dyDescent="0.2">
      <c r="G6951" s="1333"/>
      <c r="K6951" s="67"/>
    </row>
    <row r="6952" spans="7:11" ht="11.85" customHeight="1" x14ac:dyDescent="0.2">
      <c r="G6952" s="1333"/>
      <c r="K6952" s="67"/>
    </row>
    <row r="6953" spans="7:11" ht="11.85" customHeight="1" x14ac:dyDescent="0.2">
      <c r="G6953" s="1333"/>
      <c r="K6953" s="67"/>
    </row>
    <row r="6954" spans="7:11" ht="11.85" customHeight="1" x14ac:dyDescent="0.2">
      <c r="G6954" s="1333"/>
      <c r="K6954" s="67"/>
    </row>
    <row r="6955" spans="7:11" ht="11.85" customHeight="1" x14ac:dyDescent="0.2">
      <c r="G6955" s="1333"/>
      <c r="K6955" s="67"/>
    </row>
    <row r="6956" spans="7:11" ht="11.85" customHeight="1" x14ac:dyDescent="0.2">
      <c r="G6956" s="1333"/>
      <c r="K6956" s="67"/>
    </row>
    <row r="6957" spans="7:11" ht="11.85" customHeight="1" x14ac:dyDescent="0.2">
      <c r="G6957" s="1333"/>
      <c r="K6957" s="67"/>
    </row>
    <row r="6958" spans="7:11" ht="11.85" customHeight="1" x14ac:dyDescent="0.2">
      <c r="G6958" s="1333"/>
      <c r="K6958" s="67"/>
    </row>
    <row r="6959" spans="7:11" ht="11.85" customHeight="1" x14ac:dyDescent="0.2">
      <c r="G6959" s="1333"/>
      <c r="K6959" s="67"/>
    </row>
    <row r="6960" spans="7:11" ht="11.85" customHeight="1" x14ac:dyDescent="0.2">
      <c r="G6960" s="1333"/>
      <c r="K6960" s="67"/>
    </row>
    <row r="6961" spans="7:11" ht="11.85" customHeight="1" x14ac:dyDescent="0.2">
      <c r="G6961" s="1333"/>
      <c r="K6961" s="67"/>
    </row>
    <row r="6962" spans="7:11" ht="11.85" customHeight="1" x14ac:dyDescent="0.2">
      <c r="G6962" s="1333"/>
      <c r="K6962" s="67"/>
    </row>
    <row r="6963" spans="7:11" ht="11.85" customHeight="1" x14ac:dyDescent="0.2">
      <c r="G6963" s="1333"/>
      <c r="K6963" s="67"/>
    </row>
    <row r="6964" spans="7:11" ht="11.85" customHeight="1" x14ac:dyDescent="0.2">
      <c r="G6964" s="1333"/>
      <c r="K6964" s="67"/>
    </row>
    <row r="6965" spans="7:11" ht="11.85" customHeight="1" x14ac:dyDescent="0.2">
      <c r="G6965" s="1333"/>
      <c r="K6965" s="67"/>
    </row>
    <row r="6966" spans="7:11" ht="11.85" customHeight="1" x14ac:dyDescent="0.2">
      <c r="G6966" s="1333"/>
      <c r="K6966" s="67"/>
    </row>
    <row r="6967" spans="7:11" ht="11.85" customHeight="1" x14ac:dyDescent="0.2">
      <c r="G6967" s="1333"/>
      <c r="K6967" s="67"/>
    </row>
    <row r="6968" spans="7:11" ht="11.85" customHeight="1" x14ac:dyDescent="0.2">
      <c r="G6968" s="1333"/>
      <c r="K6968" s="67"/>
    </row>
    <row r="6969" spans="7:11" ht="11.85" customHeight="1" x14ac:dyDescent="0.2">
      <c r="G6969" s="1333"/>
      <c r="K6969" s="67"/>
    </row>
    <row r="6970" spans="7:11" ht="11.85" customHeight="1" x14ac:dyDescent="0.2">
      <c r="G6970" s="1333"/>
      <c r="K6970" s="67"/>
    </row>
    <row r="6971" spans="7:11" ht="11.85" customHeight="1" x14ac:dyDescent="0.2">
      <c r="G6971" s="1333"/>
      <c r="K6971" s="67"/>
    </row>
    <row r="6972" spans="7:11" ht="11.85" customHeight="1" x14ac:dyDescent="0.2">
      <c r="G6972" s="1333"/>
      <c r="K6972" s="67"/>
    </row>
    <row r="6973" spans="7:11" ht="11.85" customHeight="1" x14ac:dyDescent="0.2">
      <c r="G6973" s="1333"/>
      <c r="K6973" s="67"/>
    </row>
    <row r="6974" spans="7:11" ht="11.85" customHeight="1" x14ac:dyDescent="0.2">
      <c r="G6974" s="1333"/>
      <c r="K6974" s="67"/>
    </row>
    <row r="6975" spans="7:11" ht="11.85" customHeight="1" x14ac:dyDescent="0.2">
      <c r="G6975" s="1333"/>
      <c r="K6975" s="67"/>
    </row>
    <row r="6976" spans="7:11" ht="11.85" customHeight="1" x14ac:dyDescent="0.2">
      <c r="G6976" s="1333"/>
      <c r="K6976" s="67"/>
    </row>
    <row r="6977" spans="7:11" ht="11.85" customHeight="1" x14ac:dyDescent="0.2">
      <c r="G6977" s="1333"/>
      <c r="K6977" s="67"/>
    </row>
    <row r="6978" spans="7:11" ht="11.85" customHeight="1" x14ac:dyDescent="0.2">
      <c r="G6978" s="1333"/>
      <c r="K6978" s="67"/>
    </row>
    <row r="6979" spans="7:11" ht="11.85" customHeight="1" x14ac:dyDescent="0.2">
      <c r="G6979" s="1333"/>
      <c r="K6979" s="67"/>
    </row>
    <row r="6980" spans="7:11" ht="11.85" customHeight="1" x14ac:dyDescent="0.2">
      <c r="G6980" s="1333"/>
      <c r="K6980" s="67"/>
    </row>
    <row r="6981" spans="7:11" ht="11.85" customHeight="1" x14ac:dyDescent="0.2">
      <c r="G6981" s="1333"/>
      <c r="K6981" s="67"/>
    </row>
    <row r="6982" spans="7:11" ht="11.85" customHeight="1" x14ac:dyDescent="0.2">
      <c r="G6982" s="1333"/>
      <c r="K6982" s="67"/>
    </row>
    <row r="6983" spans="7:11" ht="11.85" customHeight="1" x14ac:dyDescent="0.2">
      <c r="G6983" s="1333"/>
      <c r="K6983" s="67"/>
    </row>
    <row r="6984" spans="7:11" ht="11.85" customHeight="1" x14ac:dyDescent="0.2">
      <c r="G6984" s="1333"/>
      <c r="K6984" s="67"/>
    </row>
    <row r="6985" spans="7:11" ht="11.85" customHeight="1" x14ac:dyDescent="0.2">
      <c r="G6985" s="1333"/>
      <c r="K6985" s="67"/>
    </row>
    <row r="6986" spans="7:11" ht="11.85" customHeight="1" x14ac:dyDescent="0.2">
      <c r="G6986" s="1333"/>
      <c r="K6986" s="67"/>
    </row>
    <row r="6987" spans="7:11" ht="11.85" customHeight="1" x14ac:dyDescent="0.2">
      <c r="G6987" s="1333"/>
      <c r="K6987" s="67"/>
    </row>
    <row r="6988" spans="7:11" ht="11.85" customHeight="1" x14ac:dyDescent="0.2">
      <c r="G6988" s="1333"/>
      <c r="K6988" s="67"/>
    </row>
    <row r="6989" spans="7:11" ht="11.85" customHeight="1" x14ac:dyDescent="0.2">
      <c r="G6989" s="1333"/>
      <c r="K6989" s="67"/>
    </row>
    <row r="6990" spans="7:11" ht="11.85" customHeight="1" x14ac:dyDescent="0.2">
      <c r="G6990" s="1333"/>
      <c r="K6990" s="67"/>
    </row>
    <row r="6991" spans="7:11" ht="11.85" customHeight="1" x14ac:dyDescent="0.2">
      <c r="G6991" s="1333"/>
      <c r="K6991" s="67"/>
    </row>
    <row r="6992" spans="7:11" ht="11.85" customHeight="1" x14ac:dyDescent="0.2">
      <c r="G6992" s="1333"/>
      <c r="K6992" s="67"/>
    </row>
    <row r="6993" spans="7:11" ht="11.85" customHeight="1" x14ac:dyDescent="0.2">
      <c r="G6993" s="1333"/>
      <c r="K6993" s="67"/>
    </row>
    <row r="6994" spans="7:11" ht="11.85" customHeight="1" x14ac:dyDescent="0.2">
      <c r="G6994" s="1333"/>
      <c r="K6994" s="67"/>
    </row>
    <row r="6995" spans="7:11" ht="11.85" customHeight="1" x14ac:dyDescent="0.2">
      <c r="G6995" s="1333"/>
      <c r="K6995" s="67"/>
    </row>
    <row r="6996" spans="7:11" ht="11.85" customHeight="1" x14ac:dyDescent="0.2">
      <c r="G6996" s="1333"/>
      <c r="K6996" s="67"/>
    </row>
    <row r="6997" spans="7:11" ht="11.85" customHeight="1" x14ac:dyDescent="0.2">
      <c r="G6997" s="1333"/>
      <c r="K6997" s="67"/>
    </row>
    <row r="6998" spans="7:11" ht="11.85" customHeight="1" x14ac:dyDescent="0.2">
      <c r="G6998" s="1333"/>
      <c r="K6998" s="67"/>
    </row>
    <row r="6999" spans="7:11" ht="11.85" customHeight="1" x14ac:dyDescent="0.2">
      <c r="G6999" s="1333"/>
      <c r="K6999" s="67"/>
    </row>
    <row r="7000" spans="7:11" ht="11.85" customHeight="1" x14ac:dyDescent="0.2">
      <c r="G7000" s="1333"/>
      <c r="K7000" s="67"/>
    </row>
    <row r="7001" spans="7:11" ht="11.85" customHeight="1" x14ac:dyDescent="0.2">
      <c r="G7001" s="1333"/>
      <c r="K7001" s="67"/>
    </row>
    <row r="7002" spans="7:11" ht="11.85" customHeight="1" x14ac:dyDescent="0.2">
      <c r="G7002" s="1333"/>
      <c r="K7002" s="67"/>
    </row>
    <row r="7003" spans="7:11" ht="11.85" customHeight="1" x14ac:dyDescent="0.2">
      <c r="G7003" s="1333"/>
      <c r="K7003" s="67"/>
    </row>
    <row r="7004" spans="7:11" ht="11.85" customHeight="1" x14ac:dyDescent="0.2">
      <c r="G7004" s="1333"/>
      <c r="K7004" s="67"/>
    </row>
    <row r="7005" spans="7:11" ht="11.85" customHeight="1" x14ac:dyDescent="0.2">
      <c r="G7005" s="1333"/>
      <c r="K7005" s="67"/>
    </row>
    <row r="7006" spans="7:11" ht="11.85" customHeight="1" x14ac:dyDescent="0.2">
      <c r="G7006" s="1333"/>
      <c r="K7006" s="67"/>
    </row>
    <row r="7007" spans="7:11" ht="11.85" customHeight="1" x14ac:dyDescent="0.2">
      <c r="G7007" s="1333"/>
      <c r="K7007" s="67"/>
    </row>
    <row r="7008" spans="7:11" ht="11.85" customHeight="1" x14ac:dyDescent="0.2">
      <c r="G7008" s="1333"/>
      <c r="K7008" s="67"/>
    </row>
    <row r="7009" spans="7:11" ht="11.85" customHeight="1" x14ac:dyDescent="0.2">
      <c r="G7009" s="1333"/>
      <c r="K7009" s="67"/>
    </row>
    <row r="7010" spans="7:11" ht="11.85" customHeight="1" x14ac:dyDescent="0.2">
      <c r="G7010" s="1333"/>
      <c r="K7010" s="67"/>
    </row>
    <row r="7011" spans="7:11" ht="11.85" customHeight="1" x14ac:dyDescent="0.2">
      <c r="G7011" s="1333"/>
      <c r="K7011" s="67"/>
    </row>
    <row r="7012" spans="7:11" ht="11.85" customHeight="1" x14ac:dyDescent="0.2">
      <c r="G7012" s="1333"/>
      <c r="K7012" s="67"/>
    </row>
    <row r="7013" spans="7:11" ht="11.85" customHeight="1" x14ac:dyDescent="0.2">
      <c r="G7013" s="1333"/>
      <c r="K7013" s="67"/>
    </row>
    <row r="7014" spans="7:11" ht="11.85" customHeight="1" x14ac:dyDescent="0.2">
      <c r="G7014" s="1333"/>
      <c r="K7014" s="67"/>
    </row>
    <row r="7015" spans="7:11" ht="11.85" customHeight="1" x14ac:dyDescent="0.2">
      <c r="G7015" s="1333"/>
      <c r="K7015" s="67"/>
    </row>
    <row r="7016" spans="7:11" ht="11.85" customHeight="1" x14ac:dyDescent="0.2">
      <c r="G7016" s="1333"/>
      <c r="K7016" s="67"/>
    </row>
    <row r="7017" spans="7:11" ht="11.85" customHeight="1" x14ac:dyDescent="0.2">
      <c r="G7017" s="1333"/>
      <c r="K7017" s="67"/>
    </row>
    <row r="7018" spans="7:11" ht="11.85" customHeight="1" x14ac:dyDescent="0.2">
      <c r="G7018" s="1333"/>
      <c r="K7018" s="67"/>
    </row>
    <row r="7019" spans="7:11" ht="11.85" customHeight="1" x14ac:dyDescent="0.2">
      <c r="G7019" s="1333"/>
      <c r="K7019" s="67"/>
    </row>
    <row r="7020" spans="7:11" ht="11.85" customHeight="1" x14ac:dyDescent="0.2">
      <c r="G7020" s="1333"/>
      <c r="K7020" s="67"/>
    </row>
    <row r="7021" spans="7:11" ht="11.85" customHeight="1" x14ac:dyDescent="0.2">
      <c r="G7021" s="1333"/>
      <c r="K7021" s="67"/>
    </row>
    <row r="7022" spans="7:11" ht="11.85" customHeight="1" x14ac:dyDescent="0.2">
      <c r="G7022" s="1333"/>
      <c r="K7022" s="67"/>
    </row>
    <row r="7023" spans="7:11" ht="11.85" customHeight="1" x14ac:dyDescent="0.2">
      <c r="G7023" s="1333"/>
      <c r="K7023" s="67"/>
    </row>
    <row r="7024" spans="7:11" ht="11.85" customHeight="1" x14ac:dyDescent="0.2">
      <c r="G7024" s="1333"/>
      <c r="K7024" s="67"/>
    </row>
    <row r="7025" spans="7:11" ht="11.85" customHeight="1" x14ac:dyDescent="0.2">
      <c r="G7025" s="1333"/>
      <c r="K7025" s="67"/>
    </row>
    <row r="7026" spans="7:11" ht="11.85" customHeight="1" x14ac:dyDescent="0.2">
      <c r="G7026" s="1333"/>
      <c r="K7026" s="67"/>
    </row>
    <row r="7027" spans="7:11" ht="11.85" customHeight="1" x14ac:dyDescent="0.2">
      <c r="G7027" s="1333"/>
      <c r="K7027" s="67"/>
    </row>
    <row r="7028" spans="7:11" ht="11.85" customHeight="1" x14ac:dyDescent="0.2">
      <c r="G7028" s="1333"/>
      <c r="K7028" s="67"/>
    </row>
    <row r="7029" spans="7:11" ht="11.85" customHeight="1" x14ac:dyDescent="0.2">
      <c r="G7029" s="1333"/>
      <c r="K7029" s="67"/>
    </row>
    <row r="7030" spans="7:11" ht="11.85" customHeight="1" x14ac:dyDescent="0.2">
      <c r="G7030" s="1333"/>
      <c r="K7030" s="67"/>
    </row>
    <row r="7031" spans="7:11" ht="11.85" customHeight="1" x14ac:dyDescent="0.2">
      <c r="G7031" s="1333"/>
      <c r="K7031" s="67"/>
    </row>
    <row r="7032" spans="7:11" ht="11.85" customHeight="1" x14ac:dyDescent="0.2">
      <c r="G7032" s="1333"/>
      <c r="K7032" s="67"/>
    </row>
    <row r="7033" spans="7:11" ht="11.85" customHeight="1" x14ac:dyDescent="0.2">
      <c r="G7033" s="1333"/>
      <c r="K7033" s="67"/>
    </row>
    <row r="7034" spans="7:11" ht="11.85" customHeight="1" x14ac:dyDescent="0.2">
      <c r="G7034" s="1333"/>
      <c r="K7034" s="67"/>
    </row>
    <row r="7035" spans="7:11" ht="11.85" customHeight="1" x14ac:dyDescent="0.2">
      <c r="G7035" s="1333"/>
      <c r="K7035" s="67"/>
    </row>
    <row r="7036" spans="7:11" ht="11.85" customHeight="1" x14ac:dyDescent="0.2">
      <c r="G7036" s="1333"/>
      <c r="K7036" s="67"/>
    </row>
    <row r="7037" spans="7:11" ht="11.85" customHeight="1" x14ac:dyDescent="0.2">
      <c r="G7037" s="1333"/>
      <c r="K7037" s="67"/>
    </row>
    <row r="7038" spans="7:11" ht="11.85" customHeight="1" x14ac:dyDescent="0.2">
      <c r="G7038" s="1333"/>
      <c r="K7038" s="67"/>
    </row>
    <row r="7039" spans="7:11" ht="11.85" customHeight="1" x14ac:dyDescent="0.2">
      <c r="G7039" s="1333"/>
      <c r="K7039" s="67"/>
    </row>
    <row r="7040" spans="7:11" ht="11.85" customHeight="1" x14ac:dyDescent="0.2">
      <c r="G7040" s="1333"/>
      <c r="K7040" s="67"/>
    </row>
    <row r="7041" spans="7:11" ht="11.85" customHeight="1" x14ac:dyDescent="0.2">
      <c r="G7041" s="1333"/>
      <c r="K7041" s="67"/>
    </row>
    <row r="7042" spans="7:11" ht="11.85" customHeight="1" x14ac:dyDescent="0.2">
      <c r="G7042" s="1333"/>
      <c r="K7042" s="67"/>
    </row>
    <row r="7043" spans="7:11" ht="11.85" customHeight="1" x14ac:dyDescent="0.2">
      <c r="G7043" s="1333"/>
      <c r="K7043" s="67"/>
    </row>
    <row r="7044" spans="7:11" ht="11.85" customHeight="1" x14ac:dyDescent="0.2">
      <c r="G7044" s="1333"/>
      <c r="K7044" s="67"/>
    </row>
    <row r="7045" spans="7:11" ht="11.85" customHeight="1" x14ac:dyDescent="0.2">
      <c r="G7045" s="1333"/>
      <c r="K7045" s="67"/>
    </row>
    <row r="7046" spans="7:11" ht="11.85" customHeight="1" x14ac:dyDescent="0.2">
      <c r="G7046" s="1333"/>
      <c r="K7046" s="67"/>
    </row>
    <row r="7047" spans="7:11" ht="11.85" customHeight="1" x14ac:dyDescent="0.2">
      <c r="G7047" s="1333"/>
      <c r="K7047" s="67"/>
    </row>
    <row r="7048" spans="7:11" ht="11.85" customHeight="1" x14ac:dyDescent="0.2">
      <c r="G7048" s="1333"/>
      <c r="K7048" s="67"/>
    </row>
    <row r="7049" spans="7:11" ht="11.85" customHeight="1" x14ac:dyDescent="0.2">
      <c r="G7049" s="1333"/>
      <c r="K7049" s="67"/>
    </row>
    <row r="7050" spans="7:11" ht="11.85" customHeight="1" x14ac:dyDescent="0.2">
      <c r="G7050" s="1333"/>
      <c r="K7050" s="67"/>
    </row>
    <row r="7051" spans="7:11" ht="11.85" customHeight="1" x14ac:dyDescent="0.2">
      <c r="G7051" s="1333"/>
      <c r="K7051" s="67"/>
    </row>
    <row r="7052" spans="7:11" ht="11.85" customHeight="1" x14ac:dyDescent="0.2">
      <c r="G7052" s="1333"/>
      <c r="K7052" s="67"/>
    </row>
    <row r="7053" spans="7:11" ht="11.85" customHeight="1" x14ac:dyDescent="0.2">
      <c r="G7053" s="1333"/>
      <c r="K7053" s="67"/>
    </row>
    <row r="7054" spans="7:11" ht="11.85" customHeight="1" x14ac:dyDescent="0.2">
      <c r="G7054" s="1333"/>
      <c r="K7054" s="67"/>
    </row>
    <row r="7055" spans="7:11" ht="11.85" customHeight="1" x14ac:dyDescent="0.2">
      <c r="G7055" s="1333"/>
      <c r="K7055" s="67"/>
    </row>
    <row r="7056" spans="7:11" ht="11.85" customHeight="1" x14ac:dyDescent="0.2">
      <c r="G7056" s="1333"/>
      <c r="K7056" s="67"/>
    </row>
    <row r="7057" spans="7:11" ht="11.85" customHeight="1" x14ac:dyDescent="0.2">
      <c r="G7057" s="1333"/>
      <c r="K7057" s="67"/>
    </row>
    <row r="7058" spans="7:11" ht="11.85" customHeight="1" x14ac:dyDescent="0.2">
      <c r="G7058" s="1333"/>
      <c r="K7058" s="67"/>
    </row>
    <row r="7059" spans="7:11" ht="11.85" customHeight="1" x14ac:dyDescent="0.2">
      <c r="G7059" s="1333"/>
      <c r="K7059" s="67"/>
    </row>
    <row r="7060" spans="7:11" ht="11.85" customHeight="1" x14ac:dyDescent="0.2">
      <c r="G7060" s="1333"/>
      <c r="K7060" s="67"/>
    </row>
    <row r="7061" spans="7:11" ht="11.85" customHeight="1" x14ac:dyDescent="0.2">
      <c r="G7061" s="1333"/>
      <c r="K7061" s="67"/>
    </row>
    <row r="7062" spans="7:11" ht="11.85" customHeight="1" x14ac:dyDescent="0.2">
      <c r="G7062" s="1333"/>
      <c r="K7062" s="67"/>
    </row>
    <row r="7063" spans="7:11" ht="11.85" customHeight="1" x14ac:dyDescent="0.2">
      <c r="G7063" s="1333"/>
      <c r="K7063" s="67"/>
    </row>
    <row r="7064" spans="7:11" ht="11.85" customHeight="1" x14ac:dyDescent="0.2">
      <c r="G7064" s="1333"/>
      <c r="K7064" s="67"/>
    </row>
    <row r="7065" spans="7:11" ht="11.85" customHeight="1" x14ac:dyDescent="0.2">
      <c r="G7065" s="1333"/>
      <c r="K7065" s="67"/>
    </row>
    <row r="7066" spans="7:11" ht="11.85" customHeight="1" x14ac:dyDescent="0.2">
      <c r="G7066" s="1333"/>
      <c r="K7066" s="67"/>
    </row>
    <row r="7067" spans="7:11" ht="11.85" customHeight="1" x14ac:dyDescent="0.2">
      <c r="G7067" s="1333"/>
      <c r="K7067" s="67"/>
    </row>
    <row r="7068" spans="7:11" ht="11.85" customHeight="1" x14ac:dyDescent="0.2">
      <c r="G7068" s="1333"/>
      <c r="K7068" s="67"/>
    </row>
    <row r="7069" spans="7:11" ht="11.85" customHeight="1" x14ac:dyDescent="0.2">
      <c r="G7069" s="1333"/>
      <c r="K7069" s="67"/>
    </row>
    <row r="7070" spans="7:11" ht="11.85" customHeight="1" x14ac:dyDescent="0.2">
      <c r="G7070" s="1333"/>
      <c r="K7070" s="67"/>
    </row>
    <row r="7071" spans="7:11" ht="11.85" customHeight="1" x14ac:dyDescent="0.2">
      <c r="G7071" s="1333"/>
      <c r="K7071" s="67"/>
    </row>
    <row r="7072" spans="7:11" ht="11.85" customHeight="1" x14ac:dyDescent="0.2">
      <c r="G7072" s="1333"/>
      <c r="K7072" s="67"/>
    </row>
    <row r="7073" spans="7:11" ht="11.85" customHeight="1" x14ac:dyDescent="0.2">
      <c r="G7073" s="1333"/>
      <c r="K7073" s="67"/>
    </row>
    <row r="7074" spans="7:11" ht="11.85" customHeight="1" x14ac:dyDescent="0.2">
      <c r="G7074" s="1333"/>
      <c r="K7074" s="67"/>
    </row>
    <row r="7075" spans="7:11" ht="11.85" customHeight="1" x14ac:dyDescent="0.2">
      <c r="G7075" s="1333"/>
      <c r="K7075" s="67"/>
    </row>
    <row r="7076" spans="7:11" ht="11.85" customHeight="1" x14ac:dyDescent="0.2">
      <c r="G7076" s="1333"/>
      <c r="K7076" s="67"/>
    </row>
    <row r="7077" spans="7:11" ht="11.85" customHeight="1" x14ac:dyDescent="0.2">
      <c r="G7077" s="1333"/>
      <c r="K7077" s="67"/>
    </row>
    <row r="7078" spans="7:11" ht="11.85" customHeight="1" x14ac:dyDescent="0.2">
      <c r="G7078" s="1333"/>
      <c r="K7078" s="67"/>
    </row>
    <row r="7079" spans="7:11" ht="11.85" customHeight="1" x14ac:dyDescent="0.2">
      <c r="G7079" s="1333"/>
      <c r="K7079" s="67"/>
    </row>
    <row r="7080" spans="7:11" ht="11.85" customHeight="1" x14ac:dyDescent="0.2">
      <c r="G7080" s="1333"/>
      <c r="K7080" s="67"/>
    </row>
    <row r="7081" spans="7:11" ht="11.85" customHeight="1" x14ac:dyDescent="0.2">
      <c r="G7081" s="1333"/>
      <c r="K7081" s="67"/>
    </row>
    <row r="7082" spans="7:11" ht="11.85" customHeight="1" x14ac:dyDescent="0.2">
      <c r="G7082" s="1333"/>
      <c r="K7082" s="67"/>
    </row>
    <row r="7083" spans="7:11" ht="11.85" customHeight="1" x14ac:dyDescent="0.2">
      <c r="G7083" s="1333"/>
      <c r="K7083" s="67"/>
    </row>
    <row r="7084" spans="7:11" ht="11.85" customHeight="1" x14ac:dyDescent="0.2">
      <c r="G7084" s="1333"/>
      <c r="K7084" s="67"/>
    </row>
    <row r="7085" spans="7:11" ht="11.85" customHeight="1" x14ac:dyDescent="0.2">
      <c r="G7085" s="1333"/>
      <c r="K7085" s="67"/>
    </row>
    <row r="7086" spans="7:11" ht="11.85" customHeight="1" x14ac:dyDescent="0.2">
      <c r="G7086" s="1333"/>
      <c r="K7086" s="67"/>
    </row>
    <row r="7087" spans="7:11" ht="11.85" customHeight="1" x14ac:dyDescent="0.2">
      <c r="G7087" s="1333"/>
      <c r="K7087" s="67"/>
    </row>
    <row r="7088" spans="7:11" ht="11.85" customHeight="1" x14ac:dyDescent="0.2">
      <c r="G7088" s="1333"/>
      <c r="K7088" s="67"/>
    </row>
    <row r="7089" spans="7:11" ht="11.85" customHeight="1" x14ac:dyDescent="0.2">
      <c r="G7089" s="1333"/>
      <c r="K7089" s="67"/>
    </row>
    <row r="7090" spans="7:11" ht="11.85" customHeight="1" x14ac:dyDescent="0.2">
      <c r="G7090" s="1333"/>
      <c r="K7090" s="67"/>
    </row>
    <row r="7091" spans="7:11" ht="11.85" customHeight="1" x14ac:dyDescent="0.2">
      <c r="G7091" s="1333"/>
      <c r="K7091" s="67"/>
    </row>
    <row r="7092" spans="7:11" ht="11.85" customHeight="1" x14ac:dyDescent="0.2">
      <c r="G7092" s="1333"/>
      <c r="K7092" s="67"/>
    </row>
    <row r="7093" spans="7:11" ht="11.85" customHeight="1" x14ac:dyDescent="0.2">
      <c r="G7093" s="1333"/>
      <c r="K7093" s="67"/>
    </row>
    <row r="7094" spans="7:11" ht="11.85" customHeight="1" x14ac:dyDescent="0.2">
      <c r="G7094" s="1333"/>
      <c r="K7094" s="67"/>
    </row>
    <row r="7095" spans="7:11" ht="11.85" customHeight="1" x14ac:dyDescent="0.2">
      <c r="G7095" s="1333"/>
      <c r="K7095" s="67"/>
    </row>
    <row r="7096" spans="7:11" ht="11.85" customHeight="1" x14ac:dyDescent="0.2">
      <c r="G7096" s="1333"/>
      <c r="K7096" s="67"/>
    </row>
    <row r="7097" spans="7:11" ht="11.85" customHeight="1" x14ac:dyDescent="0.2">
      <c r="G7097" s="1333"/>
      <c r="K7097" s="67"/>
    </row>
    <row r="7098" spans="7:11" ht="11.85" customHeight="1" x14ac:dyDescent="0.2">
      <c r="G7098" s="1333"/>
      <c r="K7098" s="67"/>
    </row>
    <row r="7099" spans="7:11" ht="11.85" customHeight="1" x14ac:dyDescent="0.2">
      <c r="G7099" s="1333"/>
      <c r="K7099" s="67"/>
    </row>
    <row r="7100" spans="7:11" ht="11.85" customHeight="1" x14ac:dyDescent="0.2">
      <c r="G7100" s="1333"/>
      <c r="K7100" s="67"/>
    </row>
    <row r="7101" spans="7:11" ht="11.85" customHeight="1" x14ac:dyDescent="0.2">
      <c r="G7101" s="1333"/>
      <c r="K7101" s="67"/>
    </row>
    <row r="7102" spans="7:11" ht="11.85" customHeight="1" x14ac:dyDescent="0.2">
      <c r="G7102" s="1333"/>
      <c r="K7102" s="67"/>
    </row>
    <row r="7103" spans="7:11" ht="11.85" customHeight="1" x14ac:dyDescent="0.2">
      <c r="G7103" s="1333"/>
      <c r="K7103" s="67"/>
    </row>
    <row r="7104" spans="7:11" ht="11.85" customHeight="1" x14ac:dyDescent="0.2">
      <c r="G7104" s="1333"/>
      <c r="K7104" s="67"/>
    </row>
    <row r="7105" spans="7:11" ht="11.85" customHeight="1" x14ac:dyDescent="0.2">
      <c r="G7105" s="1333"/>
      <c r="K7105" s="67"/>
    </row>
    <row r="7106" spans="7:11" ht="11.85" customHeight="1" x14ac:dyDescent="0.2">
      <c r="G7106" s="1333"/>
      <c r="K7106" s="67"/>
    </row>
    <row r="7107" spans="7:11" ht="11.85" customHeight="1" x14ac:dyDescent="0.2">
      <c r="G7107" s="1333"/>
      <c r="K7107" s="67"/>
    </row>
    <row r="7108" spans="7:11" ht="11.85" customHeight="1" x14ac:dyDescent="0.2">
      <c r="G7108" s="1333"/>
      <c r="K7108" s="67"/>
    </row>
    <row r="7109" spans="7:11" ht="11.85" customHeight="1" x14ac:dyDescent="0.2">
      <c r="G7109" s="1333"/>
      <c r="K7109" s="67"/>
    </row>
    <row r="7110" spans="7:11" ht="11.85" customHeight="1" x14ac:dyDescent="0.2">
      <c r="G7110" s="1333"/>
      <c r="K7110" s="67"/>
    </row>
    <row r="7111" spans="7:11" ht="11.85" customHeight="1" x14ac:dyDescent="0.2">
      <c r="G7111" s="1333"/>
      <c r="K7111" s="67"/>
    </row>
    <row r="7112" spans="7:11" ht="11.85" customHeight="1" x14ac:dyDescent="0.2">
      <c r="G7112" s="1333"/>
      <c r="K7112" s="67"/>
    </row>
    <row r="7113" spans="7:11" ht="11.85" customHeight="1" x14ac:dyDescent="0.2">
      <c r="G7113" s="1333"/>
      <c r="K7113" s="67"/>
    </row>
    <row r="7114" spans="7:11" ht="11.85" customHeight="1" x14ac:dyDescent="0.2">
      <c r="G7114" s="1333"/>
      <c r="K7114" s="67"/>
    </row>
    <row r="7115" spans="7:11" ht="11.85" customHeight="1" x14ac:dyDescent="0.2">
      <c r="G7115" s="1333"/>
      <c r="K7115" s="67"/>
    </row>
    <row r="7116" spans="7:11" ht="11.85" customHeight="1" x14ac:dyDescent="0.2">
      <c r="G7116" s="1333"/>
      <c r="K7116" s="67"/>
    </row>
    <row r="7117" spans="7:11" ht="11.85" customHeight="1" x14ac:dyDescent="0.2">
      <c r="G7117" s="1333"/>
      <c r="K7117" s="67"/>
    </row>
    <row r="7118" spans="7:11" ht="11.85" customHeight="1" x14ac:dyDescent="0.2">
      <c r="G7118" s="1333"/>
      <c r="K7118" s="67"/>
    </row>
    <row r="7119" spans="7:11" ht="11.85" customHeight="1" x14ac:dyDescent="0.2">
      <c r="G7119" s="1333"/>
      <c r="K7119" s="67"/>
    </row>
    <row r="7120" spans="7:11" ht="11.85" customHeight="1" x14ac:dyDescent="0.2">
      <c r="G7120" s="1333"/>
      <c r="K7120" s="67"/>
    </row>
    <row r="7121" spans="7:11" ht="11.85" customHeight="1" x14ac:dyDescent="0.2">
      <c r="G7121" s="1333"/>
      <c r="K7121" s="67"/>
    </row>
    <row r="7122" spans="7:11" ht="11.85" customHeight="1" x14ac:dyDescent="0.2">
      <c r="G7122" s="1333"/>
      <c r="K7122" s="67"/>
    </row>
    <row r="7123" spans="7:11" ht="11.85" customHeight="1" x14ac:dyDescent="0.2">
      <c r="G7123" s="1333"/>
      <c r="K7123" s="67"/>
    </row>
    <row r="7124" spans="7:11" ht="11.85" customHeight="1" x14ac:dyDescent="0.2">
      <c r="G7124" s="1333"/>
      <c r="K7124" s="67"/>
    </row>
    <row r="7125" spans="7:11" ht="11.85" customHeight="1" x14ac:dyDescent="0.2">
      <c r="G7125" s="1333"/>
      <c r="K7125" s="67"/>
    </row>
    <row r="7126" spans="7:11" ht="11.85" customHeight="1" x14ac:dyDescent="0.2">
      <c r="G7126" s="1333"/>
      <c r="K7126" s="67"/>
    </row>
    <row r="7127" spans="7:11" ht="11.85" customHeight="1" x14ac:dyDescent="0.2">
      <c r="G7127" s="1333"/>
      <c r="K7127" s="67"/>
    </row>
    <row r="7128" spans="7:11" ht="11.85" customHeight="1" x14ac:dyDescent="0.2">
      <c r="G7128" s="1333"/>
      <c r="K7128" s="67"/>
    </row>
    <row r="7129" spans="7:11" ht="11.85" customHeight="1" x14ac:dyDescent="0.2">
      <c r="G7129" s="1333"/>
      <c r="K7129" s="67"/>
    </row>
    <row r="7130" spans="7:11" ht="11.85" customHeight="1" x14ac:dyDescent="0.2">
      <c r="G7130" s="1333"/>
      <c r="K7130" s="67"/>
    </row>
    <row r="7131" spans="7:11" ht="11.85" customHeight="1" x14ac:dyDescent="0.2">
      <c r="G7131" s="1333"/>
      <c r="K7131" s="67"/>
    </row>
    <row r="7132" spans="7:11" ht="11.85" customHeight="1" x14ac:dyDescent="0.2">
      <c r="G7132" s="1333"/>
      <c r="K7132" s="67"/>
    </row>
    <row r="7133" spans="7:11" ht="11.85" customHeight="1" x14ac:dyDescent="0.2">
      <c r="G7133" s="1333"/>
      <c r="K7133" s="67"/>
    </row>
    <row r="7134" spans="7:11" ht="11.85" customHeight="1" x14ac:dyDescent="0.2">
      <c r="G7134" s="1333"/>
      <c r="K7134" s="67"/>
    </row>
    <row r="7135" spans="7:11" ht="11.85" customHeight="1" x14ac:dyDescent="0.2">
      <c r="G7135" s="1333"/>
      <c r="K7135" s="67"/>
    </row>
    <row r="7136" spans="7:11" ht="11.85" customHeight="1" x14ac:dyDescent="0.2">
      <c r="G7136" s="1333"/>
      <c r="K7136" s="67"/>
    </row>
    <row r="7137" spans="7:11" ht="11.85" customHeight="1" x14ac:dyDescent="0.2">
      <c r="G7137" s="1333"/>
      <c r="K7137" s="67"/>
    </row>
    <row r="7138" spans="7:11" ht="11.85" customHeight="1" x14ac:dyDescent="0.2">
      <c r="G7138" s="1333"/>
      <c r="K7138" s="67"/>
    </row>
    <row r="7139" spans="7:11" ht="11.85" customHeight="1" x14ac:dyDescent="0.2">
      <c r="G7139" s="1333"/>
      <c r="K7139" s="67"/>
    </row>
    <row r="7140" spans="7:11" ht="11.85" customHeight="1" x14ac:dyDescent="0.2">
      <c r="G7140" s="1333"/>
      <c r="K7140" s="67"/>
    </row>
    <row r="7141" spans="7:11" ht="11.85" customHeight="1" x14ac:dyDescent="0.2">
      <c r="G7141" s="1333"/>
      <c r="K7141" s="67"/>
    </row>
    <row r="7142" spans="7:11" ht="11.85" customHeight="1" x14ac:dyDescent="0.2">
      <c r="G7142" s="1333"/>
      <c r="K7142" s="67"/>
    </row>
    <row r="7143" spans="7:11" ht="11.85" customHeight="1" x14ac:dyDescent="0.2">
      <c r="G7143" s="1333"/>
      <c r="K7143" s="67"/>
    </row>
    <row r="7144" spans="7:11" ht="11.85" customHeight="1" x14ac:dyDescent="0.2">
      <c r="G7144" s="1333"/>
      <c r="K7144" s="67"/>
    </row>
    <row r="7145" spans="7:11" ht="11.85" customHeight="1" x14ac:dyDescent="0.2">
      <c r="G7145" s="1333"/>
      <c r="K7145" s="67"/>
    </row>
    <row r="7146" spans="7:11" ht="11.85" customHeight="1" x14ac:dyDescent="0.2">
      <c r="G7146" s="1333"/>
      <c r="K7146" s="67"/>
    </row>
    <row r="7147" spans="7:11" ht="11.85" customHeight="1" x14ac:dyDescent="0.2">
      <c r="G7147" s="1333"/>
      <c r="K7147" s="67"/>
    </row>
    <row r="7148" spans="7:11" ht="11.85" customHeight="1" x14ac:dyDescent="0.2">
      <c r="G7148" s="1333"/>
      <c r="K7148" s="67"/>
    </row>
    <row r="7149" spans="7:11" ht="11.85" customHeight="1" x14ac:dyDescent="0.2">
      <c r="G7149" s="1333"/>
      <c r="K7149" s="67"/>
    </row>
    <row r="7150" spans="7:11" ht="11.85" customHeight="1" x14ac:dyDescent="0.2">
      <c r="G7150" s="1333"/>
      <c r="K7150" s="67"/>
    </row>
    <row r="7151" spans="7:11" ht="11.85" customHeight="1" x14ac:dyDescent="0.2">
      <c r="G7151" s="1333"/>
      <c r="K7151" s="67"/>
    </row>
    <row r="7152" spans="7:11" ht="11.85" customHeight="1" x14ac:dyDescent="0.2">
      <c r="G7152" s="1333"/>
      <c r="K7152" s="67"/>
    </row>
    <row r="7153" spans="7:11" ht="11.85" customHeight="1" x14ac:dyDescent="0.2">
      <c r="G7153" s="1333"/>
      <c r="K7153" s="67"/>
    </row>
    <row r="7154" spans="7:11" ht="11.85" customHeight="1" x14ac:dyDescent="0.2">
      <c r="G7154" s="1333"/>
      <c r="K7154" s="67"/>
    </row>
    <row r="7155" spans="7:11" ht="11.85" customHeight="1" x14ac:dyDescent="0.2">
      <c r="G7155" s="1333"/>
      <c r="K7155" s="67"/>
    </row>
    <row r="7156" spans="7:11" ht="11.85" customHeight="1" x14ac:dyDescent="0.2">
      <c r="G7156" s="1333"/>
      <c r="K7156" s="67"/>
    </row>
    <row r="7157" spans="7:11" ht="11.85" customHeight="1" x14ac:dyDescent="0.2">
      <c r="G7157" s="1333"/>
      <c r="K7157" s="67"/>
    </row>
    <row r="7158" spans="7:11" ht="11.85" customHeight="1" x14ac:dyDescent="0.2">
      <c r="G7158" s="1333"/>
      <c r="K7158" s="67"/>
    </row>
    <row r="7159" spans="7:11" ht="11.85" customHeight="1" x14ac:dyDescent="0.2">
      <c r="G7159" s="1333"/>
      <c r="K7159" s="67"/>
    </row>
    <row r="7160" spans="7:11" ht="11.85" customHeight="1" x14ac:dyDescent="0.2">
      <c r="G7160" s="1333"/>
      <c r="K7160" s="67"/>
    </row>
    <row r="7161" spans="7:11" ht="11.85" customHeight="1" x14ac:dyDescent="0.2">
      <c r="G7161" s="1333"/>
      <c r="K7161" s="67"/>
    </row>
    <row r="7162" spans="7:11" ht="11.85" customHeight="1" x14ac:dyDescent="0.2">
      <c r="G7162" s="1333"/>
      <c r="K7162" s="67"/>
    </row>
    <row r="7163" spans="7:11" ht="11.85" customHeight="1" x14ac:dyDescent="0.2">
      <c r="G7163" s="1333"/>
      <c r="K7163" s="67"/>
    </row>
    <row r="7164" spans="7:11" ht="11.85" customHeight="1" x14ac:dyDescent="0.2">
      <c r="G7164" s="1333"/>
      <c r="K7164" s="67"/>
    </row>
    <row r="7165" spans="7:11" ht="11.85" customHeight="1" x14ac:dyDescent="0.2">
      <c r="G7165" s="1333"/>
      <c r="K7165" s="67"/>
    </row>
    <row r="7166" spans="7:11" ht="11.85" customHeight="1" x14ac:dyDescent="0.2">
      <c r="G7166" s="1333"/>
      <c r="K7166" s="67"/>
    </row>
    <row r="7167" spans="7:11" ht="11.85" customHeight="1" x14ac:dyDescent="0.2">
      <c r="G7167" s="1333"/>
      <c r="K7167" s="67"/>
    </row>
    <row r="7168" spans="7:11" ht="11.85" customHeight="1" x14ac:dyDescent="0.2">
      <c r="G7168" s="1333"/>
      <c r="K7168" s="67"/>
    </row>
    <row r="7169" spans="7:11" ht="11.85" customHeight="1" x14ac:dyDescent="0.2">
      <c r="G7169" s="1333"/>
      <c r="K7169" s="67"/>
    </row>
    <row r="7170" spans="7:11" ht="11.85" customHeight="1" x14ac:dyDescent="0.2">
      <c r="G7170" s="1333"/>
      <c r="K7170" s="67"/>
    </row>
    <row r="7171" spans="7:11" ht="11.85" customHeight="1" x14ac:dyDescent="0.2">
      <c r="G7171" s="1333"/>
      <c r="K7171" s="67"/>
    </row>
    <row r="7172" spans="7:11" ht="11.85" customHeight="1" x14ac:dyDescent="0.2">
      <c r="G7172" s="1333"/>
      <c r="K7172" s="67"/>
    </row>
    <row r="7173" spans="7:11" ht="11.85" customHeight="1" x14ac:dyDescent="0.2">
      <c r="G7173" s="1333"/>
      <c r="K7173" s="67"/>
    </row>
    <row r="7174" spans="7:11" ht="11.85" customHeight="1" x14ac:dyDescent="0.2">
      <c r="G7174" s="1333"/>
      <c r="K7174" s="67"/>
    </row>
    <row r="7175" spans="7:11" ht="11.85" customHeight="1" x14ac:dyDescent="0.2">
      <c r="G7175" s="1333"/>
      <c r="K7175" s="67"/>
    </row>
    <row r="7176" spans="7:11" ht="11.85" customHeight="1" x14ac:dyDescent="0.2">
      <c r="G7176" s="1333"/>
      <c r="K7176" s="67"/>
    </row>
    <row r="7177" spans="7:11" ht="11.85" customHeight="1" x14ac:dyDescent="0.2">
      <c r="G7177" s="1333"/>
      <c r="K7177" s="67"/>
    </row>
    <row r="7178" spans="7:11" ht="11.85" customHeight="1" x14ac:dyDescent="0.2">
      <c r="G7178" s="1333"/>
      <c r="K7178" s="67"/>
    </row>
    <row r="7179" spans="7:11" ht="11.85" customHeight="1" x14ac:dyDescent="0.2">
      <c r="G7179" s="1333"/>
      <c r="K7179" s="67"/>
    </row>
    <row r="7180" spans="7:11" ht="11.85" customHeight="1" x14ac:dyDescent="0.2">
      <c r="G7180" s="1333"/>
      <c r="K7180" s="67"/>
    </row>
    <row r="7181" spans="7:11" ht="11.85" customHeight="1" x14ac:dyDescent="0.2">
      <c r="G7181" s="1333"/>
      <c r="K7181" s="67"/>
    </row>
    <row r="7182" spans="7:11" ht="11.85" customHeight="1" x14ac:dyDescent="0.2">
      <c r="G7182" s="1333"/>
      <c r="K7182" s="67"/>
    </row>
    <row r="7183" spans="7:11" ht="11.85" customHeight="1" x14ac:dyDescent="0.2">
      <c r="G7183" s="1333"/>
      <c r="K7183" s="67"/>
    </row>
    <row r="7184" spans="7:11" ht="11.85" customHeight="1" x14ac:dyDescent="0.2">
      <c r="G7184" s="1333"/>
      <c r="K7184" s="67"/>
    </row>
    <row r="7185" spans="7:11" ht="11.85" customHeight="1" x14ac:dyDescent="0.2">
      <c r="G7185" s="1333"/>
      <c r="K7185" s="67"/>
    </row>
    <row r="7186" spans="7:11" ht="11.85" customHeight="1" x14ac:dyDescent="0.2">
      <c r="G7186" s="1333"/>
      <c r="K7186" s="67"/>
    </row>
    <row r="7187" spans="7:11" ht="11.85" customHeight="1" x14ac:dyDescent="0.2">
      <c r="G7187" s="1333"/>
      <c r="K7187" s="67"/>
    </row>
    <row r="7188" spans="7:11" ht="11.85" customHeight="1" x14ac:dyDescent="0.2">
      <c r="G7188" s="1333"/>
      <c r="K7188" s="67"/>
    </row>
    <row r="7189" spans="7:11" ht="11.85" customHeight="1" x14ac:dyDescent="0.2">
      <c r="G7189" s="1333"/>
      <c r="K7189" s="67"/>
    </row>
    <row r="7190" spans="7:11" ht="11.85" customHeight="1" x14ac:dyDescent="0.2">
      <c r="G7190" s="1333"/>
      <c r="K7190" s="67"/>
    </row>
    <row r="7191" spans="7:11" ht="11.85" customHeight="1" x14ac:dyDescent="0.2">
      <c r="G7191" s="1333"/>
      <c r="K7191" s="67"/>
    </row>
    <row r="7192" spans="7:11" ht="11.85" customHeight="1" x14ac:dyDescent="0.2">
      <c r="G7192" s="1333"/>
      <c r="K7192" s="67"/>
    </row>
    <row r="7193" spans="7:11" ht="11.85" customHeight="1" x14ac:dyDescent="0.2">
      <c r="G7193" s="1333"/>
      <c r="K7193" s="67"/>
    </row>
    <row r="7194" spans="7:11" ht="11.85" customHeight="1" x14ac:dyDescent="0.2">
      <c r="G7194" s="1333"/>
      <c r="K7194" s="67"/>
    </row>
    <row r="7195" spans="7:11" ht="11.85" customHeight="1" x14ac:dyDescent="0.2">
      <c r="G7195" s="1333"/>
      <c r="K7195" s="67"/>
    </row>
    <row r="7196" spans="7:11" ht="11.85" customHeight="1" x14ac:dyDescent="0.2">
      <c r="G7196" s="1333"/>
      <c r="K7196" s="67"/>
    </row>
    <row r="7197" spans="7:11" ht="11.85" customHeight="1" x14ac:dyDescent="0.2">
      <c r="G7197" s="1333"/>
      <c r="K7197" s="67"/>
    </row>
    <row r="7198" spans="7:11" ht="11.85" customHeight="1" x14ac:dyDescent="0.2">
      <c r="G7198" s="1333"/>
      <c r="K7198" s="67"/>
    </row>
    <row r="7199" spans="7:11" ht="11.85" customHeight="1" x14ac:dyDescent="0.2">
      <c r="G7199" s="1333"/>
      <c r="K7199" s="67"/>
    </row>
    <row r="7200" spans="7:11" ht="11.85" customHeight="1" x14ac:dyDescent="0.2">
      <c r="G7200" s="1333"/>
      <c r="K7200" s="67"/>
    </row>
    <row r="7201" spans="7:11" ht="11.85" customHeight="1" x14ac:dyDescent="0.2">
      <c r="G7201" s="1333"/>
      <c r="K7201" s="67"/>
    </row>
    <row r="7202" spans="7:11" ht="11.85" customHeight="1" x14ac:dyDescent="0.2">
      <c r="G7202" s="1333"/>
      <c r="K7202" s="67"/>
    </row>
    <row r="7203" spans="7:11" ht="11.85" customHeight="1" x14ac:dyDescent="0.2">
      <c r="G7203" s="1333"/>
      <c r="K7203" s="67"/>
    </row>
    <row r="7204" spans="7:11" ht="11.85" customHeight="1" x14ac:dyDescent="0.2">
      <c r="G7204" s="1333"/>
      <c r="K7204" s="67"/>
    </row>
    <row r="7205" spans="7:11" ht="11.85" customHeight="1" x14ac:dyDescent="0.2">
      <c r="G7205" s="1333"/>
      <c r="K7205" s="67"/>
    </row>
    <row r="7206" spans="7:11" ht="11.85" customHeight="1" x14ac:dyDescent="0.2">
      <c r="G7206" s="1333"/>
      <c r="K7206" s="67"/>
    </row>
    <row r="7207" spans="7:11" ht="11.85" customHeight="1" x14ac:dyDescent="0.2">
      <c r="G7207" s="1333"/>
      <c r="K7207" s="67"/>
    </row>
    <row r="7208" spans="7:11" ht="11.85" customHeight="1" x14ac:dyDescent="0.2">
      <c r="G7208" s="1333"/>
      <c r="K7208" s="67"/>
    </row>
    <row r="7209" spans="7:11" ht="11.85" customHeight="1" x14ac:dyDescent="0.2">
      <c r="G7209" s="1333"/>
      <c r="K7209" s="67"/>
    </row>
    <row r="7210" spans="7:11" ht="11.85" customHeight="1" x14ac:dyDescent="0.2">
      <c r="G7210" s="1333"/>
      <c r="K7210" s="67"/>
    </row>
    <row r="7211" spans="7:11" ht="11.85" customHeight="1" x14ac:dyDescent="0.2">
      <c r="G7211" s="1333"/>
      <c r="K7211" s="67"/>
    </row>
    <row r="7212" spans="7:11" ht="11.85" customHeight="1" x14ac:dyDescent="0.2">
      <c r="G7212" s="1333"/>
      <c r="K7212" s="67"/>
    </row>
    <row r="7213" spans="7:11" ht="11.85" customHeight="1" x14ac:dyDescent="0.2">
      <c r="G7213" s="1333"/>
      <c r="K7213" s="67"/>
    </row>
    <row r="7214" spans="7:11" ht="11.85" customHeight="1" x14ac:dyDescent="0.2">
      <c r="G7214" s="1333"/>
      <c r="K7214" s="67"/>
    </row>
    <row r="7215" spans="7:11" ht="11.85" customHeight="1" x14ac:dyDescent="0.2">
      <c r="G7215" s="1333"/>
      <c r="K7215" s="67"/>
    </row>
    <row r="7216" spans="7:11" ht="11.85" customHeight="1" x14ac:dyDescent="0.2">
      <c r="G7216" s="1333"/>
      <c r="K7216" s="67"/>
    </row>
  </sheetData>
  <mergeCells count="33">
    <mergeCell ref="I1079:I1080"/>
    <mergeCell ref="I1088:I1089"/>
    <mergeCell ref="I1096:I1097"/>
    <mergeCell ref="I1104:I1105"/>
    <mergeCell ref="I1112:I1113"/>
    <mergeCell ref="I1070:I1071"/>
    <mergeCell ref="B391:F391"/>
    <mergeCell ref="B514:E514"/>
    <mergeCell ref="C592:E592"/>
    <mergeCell ref="B647:F647"/>
    <mergeCell ref="B937:F937"/>
    <mergeCell ref="B950:F950"/>
    <mergeCell ref="A1042:F1042"/>
    <mergeCell ref="H1042:M1042"/>
    <mergeCell ref="I1048:I1049"/>
    <mergeCell ref="I1055:I1056"/>
    <mergeCell ref="I1062:I1063"/>
    <mergeCell ref="B1524:F1524"/>
    <mergeCell ref="B373:F373"/>
    <mergeCell ref="A1:F1"/>
    <mergeCell ref="A2:F2"/>
    <mergeCell ref="A3:F3"/>
    <mergeCell ref="A4:F4"/>
    <mergeCell ref="B7:D7"/>
    <mergeCell ref="B9:D9"/>
    <mergeCell ref="B12:F12"/>
    <mergeCell ref="B95:F95"/>
    <mergeCell ref="B153:F153"/>
    <mergeCell ref="B234:F234"/>
    <mergeCell ref="D301:E301"/>
    <mergeCell ref="B1344:F1344"/>
    <mergeCell ref="A1115:F1115"/>
    <mergeCell ref="B515:E515"/>
  </mergeCells>
  <dataValidations disablePrompts="1" count="6">
    <dataValidation type="list" allowBlank="1" showInputMessage="1" showErrorMessage="1" sqref="A47:A50 IW47:IW50 SS47:SS50 ACO47:ACO50 AMK47:AMK50 AWG47:AWG50 BGC47:BGC50 BPY47:BPY50 BZU47:BZU50 CJQ47:CJQ50 CTM47:CTM50 DDI47:DDI50 DNE47:DNE50 DXA47:DXA50 EGW47:EGW50 EQS47:EQS50 FAO47:FAO50 FKK47:FKK50 FUG47:FUG50 GEC47:GEC50 GNY47:GNY50 GXU47:GXU50 HHQ47:HHQ50 HRM47:HRM50 IBI47:IBI50 ILE47:ILE50 IVA47:IVA50 JEW47:JEW50 JOS47:JOS50 JYO47:JYO50 KIK47:KIK50 KSG47:KSG50 LCC47:LCC50 LLY47:LLY50 LVU47:LVU50 MFQ47:MFQ50 MPM47:MPM50 MZI47:MZI50 NJE47:NJE50 NTA47:NTA50 OCW47:OCW50 OMS47:OMS50 OWO47:OWO50 PGK47:PGK50 PQG47:PQG50 QAC47:QAC50 QJY47:QJY50 QTU47:QTU50 RDQ47:RDQ50 RNM47:RNM50 RXI47:RXI50 SHE47:SHE50 SRA47:SRA50 TAW47:TAW50 TKS47:TKS50 TUO47:TUO50 UEK47:UEK50 UOG47:UOG50 UYC47:UYC50 VHY47:VHY50 VRU47:VRU50 WBQ47:WBQ50 WLM47:WLM50 WVI47:WVI50 A64958:A64961 IW64958:IW64961 SS64958:SS64961 ACO64958:ACO64961 AMK64958:AMK64961 AWG64958:AWG64961 BGC64958:BGC64961 BPY64958:BPY64961 BZU64958:BZU64961 CJQ64958:CJQ64961 CTM64958:CTM64961 DDI64958:DDI64961 DNE64958:DNE64961 DXA64958:DXA64961 EGW64958:EGW64961 EQS64958:EQS64961 FAO64958:FAO64961 FKK64958:FKK64961 FUG64958:FUG64961 GEC64958:GEC64961 GNY64958:GNY64961 GXU64958:GXU64961 HHQ64958:HHQ64961 HRM64958:HRM64961 IBI64958:IBI64961 ILE64958:ILE64961 IVA64958:IVA64961 JEW64958:JEW64961 JOS64958:JOS64961 JYO64958:JYO64961 KIK64958:KIK64961 KSG64958:KSG64961 LCC64958:LCC64961 LLY64958:LLY64961 LVU64958:LVU64961 MFQ64958:MFQ64961 MPM64958:MPM64961 MZI64958:MZI64961 NJE64958:NJE64961 NTA64958:NTA64961 OCW64958:OCW64961 OMS64958:OMS64961 OWO64958:OWO64961 PGK64958:PGK64961 PQG64958:PQG64961 QAC64958:QAC64961 QJY64958:QJY64961 QTU64958:QTU64961 RDQ64958:RDQ64961 RNM64958:RNM64961 RXI64958:RXI64961 SHE64958:SHE64961 SRA64958:SRA64961 TAW64958:TAW64961 TKS64958:TKS64961 TUO64958:TUO64961 UEK64958:UEK64961 UOG64958:UOG64961 UYC64958:UYC64961 VHY64958:VHY64961 VRU64958:VRU64961 WBQ64958:WBQ64961 WLM64958:WLM64961 WVI64958:WVI64961 A130494:A130497 IW130494:IW130497 SS130494:SS130497 ACO130494:ACO130497 AMK130494:AMK130497 AWG130494:AWG130497 BGC130494:BGC130497 BPY130494:BPY130497 BZU130494:BZU130497 CJQ130494:CJQ130497 CTM130494:CTM130497 DDI130494:DDI130497 DNE130494:DNE130497 DXA130494:DXA130497 EGW130494:EGW130497 EQS130494:EQS130497 FAO130494:FAO130497 FKK130494:FKK130497 FUG130494:FUG130497 GEC130494:GEC130497 GNY130494:GNY130497 GXU130494:GXU130497 HHQ130494:HHQ130497 HRM130494:HRM130497 IBI130494:IBI130497 ILE130494:ILE130497 IVA130494:IVA130497 JEW130494:JEW130497 JOS130494:JOS130497 JYO130494:JYO130497 KIK130494:KIK130497 KSG130494:KSG130497 LCC130494:LCC130497 LLY130494:LLY130497 LVU130494:LVU130497 MFQ130494:MFQ130497 MPM130494:MPM130497 MZI130494:MZI130497 NJE130494:NJE130497 NTA130494:NTA130497 OCW130494:OCW130497 OMS130494:OMS130497 OWO130494:OWO130497 PGK130494:PGK130497 PQG130494:PQG130497 QAC130494:QAC130497 QJY130494:QJY130497 QTU130494:QTU130497 RDQ130494:RDQ130497 RNM130494:RNM130497 RXI130494:RXI130497 SHE130494:SHE130497 SRA130494:SRA130497 TAW130494:TAW130497 TKS130494:TKS130497 TUO130494:TUO130497 UEK130494:UEK130497 UOG130494:UOG130497 UYC130494:UYC130497 VHY130494:VHY130497 VRU130494:VRU130497 WBQ130494:WBQ130497 WLM130494:WLM130497 WVI130494:WVI130497 A196030:A196033 IW196030:IW196033 SS196030:SS196033 ACO196030:ACO196033 AMK196030:AMK196033 AWG196030:AWG196033 BGC196030:BGC196033 BPY196030:BPY196033 BZU196030:BZU196033 CJQ196030:CJQ196033 CTM196030:CTM196033 DDI196030:DDI196033 DNE196030:DNE196033 DXA196030:DXA196033 EGW196030:EGW196033 EQS196030:EQS196033 FAO196030:FAO196033 FKK196030:FKK196033 FUG196030:FUG196033 GEC196030:GEC196033 GNY196030:GNY196033 GXU196030:GXU196033 HHQ196030:HHQ196033 HRM196030:HRM196033 IBI196030:IBI196033 ILE196030:ILE196033 IVA196030:IVA196033 JEW196030:JEW196033 JOS196030:JOS196033 JYO196030:JYO196033 KIK196030:KIK196033 KSG196030:KSG196033 LCC196030:LCC196033 LLY196030:LLY196033 LVU196030:LVU196033 MFQ196030:MFQ196033 MPM196030:MPM196033 MZI196030:MZI196033 NJE196030:NJE196033 NTA196030:NTA196033 OCW196030:OCW196033 OMS196030:OMS196033 OWO196030:OWO196033 PGK196030:PGK196033 PQG196030:PQG196033 QAC196030:QAC196033 QJY196030:QJY196033 QTU196030:QTU196033 RDQ196030:RDQ196033 RNM196030:RNM196033 RXI196030:RXI196033 SHE196030:SHE196033 SRA196030:SRA196033 TAW196030:TAW196033 TKS196030:TKS196033 TUO196030:TUO196033 UEK196030:UEK196033 UOG196030:UOG196033 UYC196030:UYC196033 VHY196030:VHY196033 VRU196030:VRU196033 WBQ196030:WBQ196033 WLM196030:WLM196033 WVI196030:WVI196033 A261566:A261569 IW261566:IW261569 SS261566:SS261569 ACO261566:ACO261569 AMK261566:AMK261569 AWG261566:AWG261569 BGC261566:BGC261569 BPY261566:BPY261569 BZU261566:BZU261569 CJQ261566:CJQ261569 CTM261566:CTM261569 DDI261566:DDI261569 DNE261566:DNE261569 DXA261566:DXA261569 EGW261566:EGW261569 EQS261566:EQS261569 FAO261566:FAO261569 FKK261566:FKK261569 FUG261566:FUG261569 GEC261566:GEC261569 GNY261566:GNY261569 GXU261566:GXU261569 HHQ261566:HHQ261569 HRM261566:HRM261569 IBI261566:IBI261569 ILE261566:ILE261569 IVA261566:IVA261569 JEW261566:JEW261569 JOS261566:JOS261569 JYO261566:JYO261569 KIK261566:KIK261569 KSG261566:KSG261569 LCC261566:LCC261569 LLY261566:LLY261569 LVU261566:LVU261569 MFQ261566:MFQ261569 MPM261566:MPM261569 MZI261566:MZI261569 NJE261566:NJE261569 NTA261566:NTA261569 OCW261566:OCW261569 OMS261566:OMS261569 OWO261566:OWO261569 PGK261566:PGK261569 PQG261566:PQG261569 QAC261566:QAC261569 QJY261566:QJY261569 QTU261566:QTU261569 RDQ261566:RDQ261569 RNM261566:RNM261569 RXI261566:RXI261569 SHE261566:SHE261569 SRA261566:SRA261569 TAW261566:TAW261569 TKS261566:TKS261569 TUO261566:TUO261569 UEK261566:UEK261569 UOG261566:UOG261569 UYC261566:UYC261569 VHY261566:VHY261569 VRU261566:VRU261569 WBQ261566:WBQ261569 WLM261566:WLM261569 WVI261566:WVI261569 A327102:A327105 IW327102:IW327105 SS327102:SS327105 ACO327102:ACO327105 AMK327102:AMK327105 AWG327102:AWG327105 BGC327102:BGC327105 BPY327102:BPY327105 BZU327102:BZU327105 CJQ327102:CJQ327105 CTM327102:CTM327105 DDI327102:DDI327105 DNE327102:DNE327105 DXA327102:DXA327105 EGW327102:EGW327105 EQS327102:EQS327105 FAO327102:FAO327105 FKK327102:FKK327105 FUG327102:FUG327105 GEC327102:GEC327105 GNY327102:GNY327105 GXU327102:GXU327105 HHQ327102:HHQ327105 HRM327102:HRM327105 IBI327102:IBI327105 ILE327102:ILE327105 IVA327102:IVA327105 JEW327102:JEW327105 JOS327102:JOS327105 JYO327102:JYO327105 KIK327102:KIK327105 KSG327102:KSG327105 LCC327102:LCC327105 LLY327102:LLY327105 LVU327102:LVU327105 MFQ327102:MFQ327105 MPM327102:MPM327105 MZI327102:MZI327105 NJE327102:NJE327105 NTA327102:NTA327105 OCW327102:OCW327105 OMS327102:OMS327105 OWO327102:OWO327105 PGK327102:PGK327105 PQG327102:PQG327105 QAC327102:QAC327105 QJY327102:QJY327105 QTU327102:QTU327105 RDQ327102:RDQ327105 RNM327102:RNM327105 RXI327102:RXI327105 SHE327102:SHE327105 SRA327102:SRA327105 TAW327102:TAW327105 TKS327102:TKS327105 TUO327102:TUO327105 UEK327102:UEK327105 UOG327102:UOG327105 UYC327102:UYC327105 VHY327102:VHY327105 VRU327102:VRU327105 WBQ327102:WBQ327105 WLM327102:WLM327105 WVI327102:WVI327105 A392638:A392641 IW392638:IW392641 SS392638:SS392641 ACO392638:ACO392641 AMK392638:AMK392641 AWG392638:AWG392641 BGC392638:BGC392641 BPY392638:BPY392641 BZU392638:BZU392641 CJQ392638:CJQ392641 CTM392638:CTM392641 DDI392638:DDI392641 DNE392638:DNE392641 DXA392638:DXA392641 EGW392638:EGW392641 EQS392638:EQS392641 FAO392638:FAO392641 FKK392638:FKK392641 FUG392638:FUG392641 GEC392638:GEC392641 GNY392638:GNY392641 GXU392638:GXU392641 HHQ392638:HHQ392641 HRM392638:HRM392641 IBI392638:IBI392641 ILE392638:ILE392641 IVA392638:IVA392641 JEW392638:JEW392641 JOS392638:JOS392641 JYO392638:JYO392641 KIK392638:KIK392641 KSG392638:KSG392641 LCC392638:LCC392641 LLY392638:LLY392641 LVU392638:LVU392641 MFQ392638:MFQ392641 MPM392638:MPM392641 MZI392638:MZI392641 NJE392638:NJE392641 NTA392638:NTA392641 OCW392638:OCW392641 OMS392638:OMS392641 OWO392638:OWO392641 PGK392638:PGK392641 PQG392638:PQG392641 QAC392638:QAC392641 QJY392638:QJY392641 QTU392638:QTU392641 RDQ392638:RDQ392641 RNM392638:RNM392641 RXI392638:RXI392641 SHE392638:SHE392641 SRA392638:SRA392641 TAW392638:TAW392641 TKS392638:TKS392641 TUO392638:TUO392641 UEK392638:UEK392641 UOG392638:UOG392641 UYC392638:UYC392641 VHY392638:VHY392641 VRU392638:VRU392641 WBQ392638:WBQ392641 WLM392638:WLM392641 WVI392638:WVI392641 A458174:A458177 IW458174:IW458177 SS458174:SS458177 ACO458174:ACO458177 AMK458174:AMK458177 AWG458174:AWG458177 BGC458174:BGC458177 BPY458174:BPY458177 BZU458174:BZU458177 CJQ458174:CJQ458177 CTM458174:CTM458177 DDI458174:DDI458177 DNE458174:DNE458177 DXA458174:DXA458177 EGW458174:EGW458177 EQS458174:EQS458177 FAO458174:FAO458177 FKK458174:FKK458177 FUG458174:FUG458177 GEC458174:GEC458177 GNY458174:GNY458177 GXU458174:GXU458177 HHQ458174:HHQ458177 HRM458174:HRM458177 IBI458174:IBI458177 ILE458174:ILE458177 IVA458174:IVA458177 JEW458174:JEW458177 JOS458174:JOS458177 JYO458174:JYO458177 KIK458174:KIK458177 KSG458174:KSG458177 LCC458174:LCC458177 LLY458174:LLY458177 LVU458174:LVU458177 MFQ458174:MFQ458177 MPM458174:MPM458177 MZI458174:MZI458177 NJE458174:NJE458177 NTA458174:NTA458177 OCW458174:OCW458177 OMS458174:OMS458177 OWO458174:OWO458177 PGK458174:PGK458177 PQG458174:PQG458177 QAC458174:QAC458177 QJY458174:QJY458177 QTU458174:QTU458177 RDQ458174:RDQ458177 RNM458174:RNM458177 RXI458174:RXI458177 SHE458174:SHE458177 SRA458174:SRA458177 TAW458174:TAW458177 TKS458174:TKS458177 TUO458174:TUO458177 UEK458174:UEK458177 UOG458174:UOG458177 UYC458174:UYC458177 VHY458174:VHY458177 VRU458174:VRU458177 WBQ458174:WBQ458177 WLM458174:WLM458177 WVI458174:WVI458177 A523710:A523713 IW523710:IW523713 SS523710:SS523713 ACO523710:ACO523713 AMK523710:AMK523713 AWG523710:AWG523713 BGC523710:BGC523713 BPY523710:BPY523713 BZU523710:BZU523713 CJQ523710:CJQ523713 CTM523710:CTM523713 DDI523710:DDI523713 DNE523710:DNE523713 DXA523710:DXA523713 EGW523710:EGW523713 EQS523710:EQS523713 FAO523710:FAO523713 FKK523710:FKK523713 FUG523710:FUG523713 GEC523710:GEC523713 GNY523710:GNY523713 GXU523710:GXU523713 HHQ523710:HHQ523713 HRM523710:HRM523713 IBI523710:IBI523713 ILE523710:ILE523713 IVA523710:IVA523713 JEW523710:JEW523713 JOS523710:JOS523713 JYO523710:JYO523713 KIK523710:KIK523713 KSG523710:KSG523713 LCC523710:LCC523713 LLY523710:LLY523713 LVU523710:LVU523713 MFQ523710:MFQ523713 MPM523710:MPM523713 MZI523710:MZI523713 NJE523710:NJE523713 NTA523710:NTA523713 OCW523710:OCW523713 OMS523710:OMS523713 OWO523710:OWO523713 PGK523710:PGK523713 PQG523710:PQG523713 QAC523710:QAC523713 QJY523710:QJY523713 QTU523710:QTU523713 RDQ523710:RDQ523713 RNM523710:RNM523713 RXI523710:RXI523713 SHE523710:SHE523713 SRA523710:SRA523713 TAW523710:TAW523713 TKS523710:TKS523713 TUO523710:TUO523713 UEK523710:UEK523713 UOG523710:UOG523713 UYC523710:UYC523713 VHY523710:VHY523713 VRU523710:VRU523713 WBQ523710:WBQ523713 WLM523710:WLM523713 WVI523710:WVI523713 A589246:A589249 IW589246:IW589249 SS589246:SS589249 ACO589246:ACO589249 AMK589246:AMK589249 AWG589246:AWG589249 BGC589246:BGC589249 BPY589246:BPY589249 BZU589246:BZU589249 CJQ589246:CJQ589249 CTM589246:CTM589249 DDI589246:DDI589249 DNE589246:DNE589249 DXA589246:DXA589249 EGW589246:EGW589249 EQS589246:EQS589249 FAO589246:FAO589249 FKK589246:FKK589249 FUG589246:FUG589249 GEC589246:GEC589249 GNY589246:GNY589249 GXU589246:GXU589249 HHQ589246:HHQ589249 HRM589246:HRM589249 IBI589246:IBI589249 ILE589246:ILE589249 IVA589246:IVA589249 JEW589246:JEW589249 JOS589246:JOS589249 JYO589246:JYO589249 KIK589246:KIK589249 KSG589246:KSG589249 LCC589246:LCC589249 LLY589246:LLY589249 LVU589246:LVU589249 MFQ589246:MFQ589249 MPM589246:MPM589249 MZI589246:MZI589249 NJE589246:NJE589249 NTA589246:NTA589249 OCW589246:OCW589249 OMS589246:OMS589249 OWO589246:OWO589249 PGK589246:PGK589249 PQG589246:PQG589249 QAC589246:QAC589249 QJY589246:QJY589249 QTU589246:QTU589249 RDQ589246:RDQ589249 RNM589246:RNM589249 RXI589246:RXI589249 SHE589246:SHE589249 SRA589246:SRA589249 TAW589246:TAW589249 TKS589246:TKS589249 TUO589246:TUO589249 UEK589246:UEK589249 UOG589246:UOG589249 UYC589246:UYC589249 VHY589246:VHY589249 VRU589246:VRU589249 WBQ589246:WBQ589249 WLM589246:WLM589249 WVI589246:WVI589249 A654782:A654785 IW654782:IW654785 SS654782:SS654785 ACO654782:ACO654785 AMK654782:AMK654785 AWG654782:AWG654785 BGC654782:BGC654785 BPY654782:BPY654785 BZU654782:BZU654785 CJQ654782:CJQ654785 CTM654782:CTM654785 DDI654782:DDI654785 DNE654782:DNE654785 DXA654782:DXA654785 EGW654782:EGW654785 EQS654782:EQS654785 FAO654782:FAO654785 FKK654782:FKK654785 FUG654782:FUG654785 GEC654782:GEC654785 GNY654782:GNY654785 GXU654782:GXU654785 HHQ654782:HHQ654785 HRM654782:HRM654785 IBI654782:IBI654785 ILE654782:ILE654785 IVA654782:IVA654785 JEW654782:JEW654785 JOS654782:JOS654785 JYO654782:JYO654785 KIK654782:KIK654785 KSG654782:KSG654785 LCC654782:LCC654785 LLY654782:LLY654785 LVU654782:LVU654785 MFQ654782:MFQ654785 MPM654782:MPM654785 MZI654782:MZI654785 NJE654782:NJE654785 NTA654782:NTA654785 OCW654782:OCW654785 OMS654782:OMS654785 OWO654782:OWO654785 PGK654782:PGK654785 PQG654782:PQG654785 QAC654782:QAC654785 QJY654782:QJY654785 QTU654782:QTU654785 RDQ654782:RDQ654785 RNM654782:RNM654785 RXI654782:RXI654785 SHE654782:SHE654785 SRA654782:SRA654785 TAW654782:TAW654785 TKS654782:TKS654785 TUO654782:TUO654785 UEK654782:UEK654785 UOG654782:UOG654785 UYC654782:UYC654785 VHY654782:VHY654785 VRU654782:VRU654785 WBQ654782:WBQ654785 WLM654782:WLM654785 WVI654782:WVI654785 A720318:A720321 IW720318:IW720321 SS720318:SS720321 ACO720318:ACO720321 AMK720318:AMK720321 AWG720318:AWG720321 BGC720318:BGC720321 BPY720318:BPY720321 BZU720318:BZU720321 CJQ720318:CJQ720321 CTM720318:CTM720321 DDI720318:DDI720321 DNE720318:DNE720321 DXA720318:DXA720321 EGW720318:EGW720321 EQS720318:EQS720321 FAO720318:FAO720321 FKK720318:FKK720321 FUG720318:FUG720321 GEC720318:GEC720321 GNY720318:GNY720321 GXU720318:GXU720321 HHQ720318:HHQ720321 HRM720318:HRM720321 IBI720318:IBI720321 ILE720318:ILE720321 IVA720318:IVA720321 JEW720318:JEW720321 JOS720318:JOS720321 JYO720318:JYO720321 KIK720318:KIK720321 KSG720318:KSG720321 LCC720318:LCC720321 LLY720318:LLY720321 LVU720318:LVU720321 MFQ720318:MFQ720321 MPM720318:MPM720321 MZI720318:MZI720321 NJE720318:NJE720321 NTA720318:NTA720321 OCW720318:OCW720321 OMS720318:OMS720321 OWO720318:OWO720321 PGK720318:PGK720321 PQG720318:PQG720321 QAC720318:QAC720321 QJY720318:QJY720321 QTU720318:QTU720321 RDQ720318:RDQ720321 RNM720318:RNM720321 RXI720318:RXI720321 SHE720318:SHE720321 SRA720318:SRA720321 TAW720318:TAW720321 TKS720318:TKS720321 TUO720318:TUO720321 UEK720318:UEK720321 UOG720318:UOG720321 UYC720318:UYC720321 VHY720318:VHY720321 VRU720318:VRU720321 WBQ720318:WBQ720321 WLM720318:WLM720321 WVI720318:WVI720321 A785854:A785857 IW785854:IW785857 SS785854:SS785857 ACO785854:ACO785857 AMK785854:AMK785857 AWG785854:AWG785857 BGC785854:BGC785857 BPY785854:BPY785857 BZU785854:BZU785857 CJQ785854:CJQ785857 CTM785854:CTM785857 DDI785854:DDI785857 DNE785854:DNE785857 DXA785854:DXA785857 EGW785854:EGW785857 EQS785854:EQS785857 FAO785854:FAO785857 FKK785854:FKK785857 FUG785854:FUG785857 GEC785854:GEC785857 GNY785854:GNY785857 GXU785854:GXU785857 HHQ785854:HHQ785857 HRM785854:HRM785857 IBI785854:IBI785857 ILE785854:ILE785857 IVA785854:IVA785857 JEW785854:JEW785857 JOS785854:JOS785857 JYO785854:JYO785857 KIK785854:KIK785857 KSG785854:KSG785857 LCC785854:LCC785857 LLY785854:LLY785857 LVU785854:LVU785857 MFQ785854:MFQ785857 MPM785854:MPM785857 MZI785854:MZI785857 NJE785854:NJE785857 NTA785854:NTA785857 OCW785854:OCW785857 OMS785854:OMS785857 OWO785854:OWO785857 PGK785854:PGK785857 PQG785854:PQG785857 QAC785854:QAC785857 QJY785854:QJY785857 QTU785854:QTU785857 RDQ785854:RDQ785857 RNM785854:RNM785857 RXI785854:RXI785857 SHE785854:SHE785857 SRA785854:SRA785857 TAW785854:TAW785857 TKS785854:TKS785857 TUO785854:TUO785857 UEK785854:UEK785857 UOG785854:UOG785857 UYC785854:UYC785857 VHY785854:VHY785857 VRU785854:VRU785857 WBQ785854:WBQ785857 WLM785854:WLM785857 WVI785854:WVI785857 A851390:A851393 IW851390:IW851393 SS851390:SS851393 ACO851390:ACO851393 AMK851390:AMK851393 AWG851390:AWG851393 BGC851390:BGC851393 BPY851390:BPY851393 BZU851390:BZU851393 CJQ851390:CJQ851393 CTM851390:CTM851393 DDI851390:DDI851393 DNE851390:DNE851393 DXA851390:DXA851393 EGW851390:EGW851393 EQS851390:EQS851393 FAO851390:FAO851393 FKK851390:FKK851393 FUG851390:FUG851393 GEC851390:GEC851393 GNY851390:GNY851393 GXU851390:GXU851393 HHQ851390:HHQ851393 HRM851390:HRM851393 IBI851390:IBI851393 ILE851390:ILE851393 IVA851390:IVA851393 JEW851390:JEW851393 JOS851390:JOS851393 JYO851390:JYO851393 KIK851390:KIK851393 KSG851390:KSG851393 LCC851390:LCC851393 LLY851390:LLY851393 LVU851390:LVU851393 MFQ851390:MFQ851393 MPM851390:MPM851393 MZI851390:MZI851393 NJE851390:NJE851393 NTA851390:NTA851393 OCW851390:OCW851393 OMS851390:OMS851393 OWO851390:OWO851393 PGK851390:PGK851393 PQG851390:PQG851393 QAC851390:QAC851393 QJY851390:QJY851393 QTU851390:QTU851393 RDQ851390:RDQ851393 RNM851390:RNM851393 RXI851390:RXI851393 SHE851390:SHE851393 SRA851390:SRA851393 TAW851390:TAW851393 TKS851390:TKS851393 TUO851390:TUO851393 UEK851390:UEK851393 UOG851390:UOG851393 UYC851390:UYC851393 VHY851390:VHY851393 VRU851390:VRU851393 WBQ851390:WBQ851393 WLM851390:WLM851393 WVI851390:WVI851393 A916926:A916929 IW916926:IW916929 SS916926:SS916929 ACO916926:ACO916929 AMK916926:AMK916929 AWG916926:AWG916929 BGC916926:BGC916929 BPY916926:BPY916929 BZU916926:BZU916929 CJQ916926:CJQ916929 CTM916926:CTM916929 DDI916926:DDI916929 DNE916926:DNE916929 DXA916926:DXA916929 EGW916926:EGW916929 EQS916926:EQS916929 FAO916926:FAO916929 FKK916926:FKK916929 FUG916926:FUG916929 GEC916926:GEC916929 GNY916926:GNY916929 GXU916926:GXU916929 HHQ916926:HHQ916929 HRM916926:HRM916929 IBI916926:IBI916929 ILE916926:ILE916929 IVA916926:IVA916929 JEW916926:JEW916929 JOS916926:JOS916929 JYO916926:JYO916929 KIK916926:KIK916929 KSG916926:KSG916929 LCC916926:LCC916929 LLY916926:LLY916929 LVU916926:LVU916929 MFQ916926:MFQ916929 MPM916926:MPM916929 MZI916926:MZI916929 NJE916926:NJE916929 NTA916926:NTA916929 OCW916926:OCW916929 OMS916926:OMS916929 OWO916926:OWO916929 PGK916926:PGK916929 PQG916926:PQG916929 QAC916926:QAC916929 QJY916926:QJY916929 QTU916926:QTU916929 RDQ916926:RDQ916929 RNM916926:RNM916929 RXI916926:RXI916929 SHE916926:SHE916929 SRA916926:SRA916929 TAW916926:TAW916929 TKS916926:TKS916929 TUO916926:TUO916929 UEK916926:UEK916929 UOG916926:UOG916929 UYC916926:UYC916929 VHY916926:VHY916929 VRU916926:VRU916929 WBQ916926:WBQ916929 WLM916926:WLM916929 WVI916926:WVI916929 A982462:A982465 IW982462:IW982465 SS982462:SS982465 ACO982462:ACO982465 AMK982462:AMK982465 AWG982462:AWG982465 BGC982462:BGC982465 BPY982462:BPY982465 BZU982462:BZU982465 CJQ982462:CJQ982465 CTM982462:CTM982465 DDI982462:DDI982465 DNE982462:DNE982465 DXA982462:DXA982465 EGW982462:EGW982465 EQS982462:EQS982465 FAO982462:FAO982465 FKK982462:FKK982465 FUG982462:FUG982465 GEC982462:GEC982465 GNY982462:GNY982465 GXU982462:GXU982465 HHQ982462:HHQ982465 HRM982462:HRM982465 IBI982462:IBI982465 ILE982462:ILE982465 IVA982462:IVA982465 JEW982462:JEW982465 JOS982462:JOS982465 JYO982462:JYO982465 KIK982462:KIK982465 KSG982462:KSG982465 LCC982462:LCC982465 LLY982462:LLY982465 LVU982462:LVU982465 MFQ982462:MFQ982465 MPM982462:MPM982465 MZI982462:MZI982465 NJE982462:NJE982465 NTA982462:NTA982465 OCW982462:OCW982465 OMS982462:OMS982465 OWO982462:OWO982465 PGK982462:PGK982465 PQG982462:PQG982465 QAC982462:QAC982465 QJY982462:QJY982465 QTU982462:QTU982465 RDQ982462:RDQ982465 RNM982462:RNM982465 RXI982462:RXI982465 SHE982462:SHE982465 SRA982462:SRA982465 TAW982462:TAW982465 TKS982462:TKS982465 TUO982462:TUO982465 UEK982462:UEK982465 UOG982462:UOG982465 UYC982462:UYC982465 VHY982462:VHY982465 VRU982462:VRU982465 WBQ982462:WBQ982465 WLM982462:WLM982465 WVI982462:WVI982465 A54:A57 IW54:IW57 SS54:SS57 ACO54:ACO57 AMK54:AMK57 AWG54:AWG57 BGC54:BGC57 BPY54:BPY57 BZU54:BZU57 CJQ54:CJQ57 CTM54:CTM57 DDI54:DDI57 DNE54:DNE57 DXA54:DXA57 EGW54:EGW57 EQS54:EQS57 FAO54:FAO57 FKK54:FKK57 FUG54:FUG57 GEC54:GEC57 GNY54:GNY57 GXU54:GXU57 HHQ54:HHQ57 HRM54:HRM57 IBI54:IBI57 ILE54:ILE57 IVA54:IVA57 JEW54:JEW57 JOS54:JOS57 JYO54:JYO57 KIK54:KIK57 KSG54:KSG57 LCC54:LCC57 LLY54:LLY57 LVU54:LVU57 MFQ54:MFQ57 MPM54:MPM57 MZI54:MZI57 NJE54:NJE57 NTA54:NTA57 OCW54:OCW57 OMS54:OMS57 OWO54:OWO57 PGK54:PGK57 PQG54:PQG57 QAC54:QAC57 QJY54:QJY57 QTU54:QTU57 RDQ54:RDQ57 RNM54:RNM57 RXI54:RXI57 SHE54:SHE57 SRA54:SRA57 TAW54:TAW57 TKS54:TKS57 TUO54:TUO57 UEK54:UEK57 UOG54:UOG57 UYC54:UYC57 VHY54:VHY57 VRU54:VRU57 WBQ54:WBQ57 WLM54:WLM57 WVI54:WVI57 A64965:A64968 IW64965:IW64968 SS64965:SS64968 ACO64965:ACO64968 AMK64965:AMK64968 AWG64965:AWG64968 BGC64965:BGC64968 BPY64965:BPY64968 BZU64965:BZU64968 CJQ64965:CJQ64968 CTM64965:CTM64968 DDI64965:DDI64968 DNE64965:DNE64968 DXA64965:DXA64968 EGW64965:EGW64968 EQS64965:EQS64968 FAO64965:FAO64968 FKK64965:FKK64968 FUG64965:FUG64968 GEC64965:GEC64968 GNY64965:GNY64968 GXU64965:GXU64968 HHQ64965:HHQ64968 HRM64965:HRM64968 IBI64965:IBI64968 ILE64965:ILE64968 IVA64965:IVA64968 JEW64965:JEW64968 JOS64965:JOS64968 JYO64965:JYO64968 KIK64965:KIK64968 KSG64965:KSG64968 LCC64965:LCC64968 LLY64965:LLY64968 LVU64965:LVU64968 MFQ64965:MFQ64968 MPM64965:MPM64968 MZI64965:MZI64968 NJE64965:NJE64968 NTA64965:NTA64968 OCW64965:OCW64968 OMS64965:OMS64968 OWO64965:OWO64968 PGK64965:PGK64968 PQG64965:PQG64968 QAC64965:QAC64968 QJY64965:QJY64968 QTU64965:QTU64968 RDQ64965:RDQ64968 RNM64965:RNM64968 RXI64965:RXI64968 SHE64965:SHE64968 SRA64965:SRA64968 TAW64965:TAW64968 TKS64965:TKS64968 TUO64965:TUO64968 UEK64965:UEK64968 UOG64965:UOG64968 UYC64965:UYC64968 VHY64965:VHY64968 VRU64965:VRU64968 WBQ64965:WBQ64968 WLM64965:WLM64968 WVI64965:WVI64968 A130501:A130504 IW130501:IW130504 SS130501:SS130504 ACO130501:ACO130504 AMK130501:AMK130504 AWG130501:AWG130504 BGC130501:BGC130504 BPY130501:BPY130504 BZU130501:BZU130504 CJQ130501:CJQ130504 CTM130501:CTM130504 DDI130501:DDI130504 DNE130501:DNE130504 DXA130501:DXA130504 EGW130501:EGW130504 EQS130501:EQS130504 FAO130501:FAO130504 FKK130501:FKK130504 FUG130501:FUG130504 GEC130501:GEC130504 GNY130501:GNY130504 GXU130501:GXU130504 HHQ130501:HHQ130504 HRM130501:HRM130504 IBI130501:IBI130504 ILE130501:ILE130504 IVA130501:IVA130504 JEW130501:JEW130504 JOS130501:JOS130504 JYO130501:JYO130504 KIK130501:KIK130504 KSG130501:KSG130504 LCC130501:LCC130504 LLY130501:LLY130504 LVU130501:LVU130504 MFQ130501:MFQ130504 MPM130501:MPM130504 MZI130501:MZI130504 NJE130501:NJE130504 NTA130501:NTA130504 OCW130501:OCW130504 OMS130501:OMS130504 OWO130501:OWO130504 PGK130501:PGK130504 PQG130501:PQG130504 QAC130501:QAC130504 QJY130501:QJY130504 QTU130501:QTU130504 RDQ130501:RDQ130504 RNM130501:RNM130504 RXI130501:RXI130504 SHE130501:SHE130504 SRA130501:SRA130504 TAW130501:TAW130504 TKS130501:TKS130504 TUO130501:TUO130504 UEK130501:UEK130504 UOG130501:UOG130504 UYC130501:UYC130504 VHY130501:VHY130504 VRU130501:VRU130504 WBQ130501:WBQ130504 WLM130501:WLM130504 WVI130501:WVI130504 A196037:A196040 IW196037:IW196040 SS196037:SS196040 ACO196037:ACO196040 AMK196037:AMK196040 AWG196037:AWG196040 BGC196037:BGC196040 BPY196037:BPY196040 BZU196037:BZU196040 CJQ196037:CJQ196040 CTM196037:CTM196040 DDI196037:DDI196040 DNE196037:DNE196040 DXA196037:DXA196040 EGW196037:EGW196040 EQS196037:EQS196040 FAO196037:FAO196040 FKK196037:FKK196040 FUG196037:FUG196040 GEC196037:GEC196040 GNY196037:GNY196040 GXU196037:GXU196040 HHQ196037:HHQ196040 HRM196037:HRM196040 IBI196037:IBI196040 ILE196037:ILE196040 IVA196037:IVA196040 JEW196037:JEW196040 JOS196037:JOS196040 JYO196037:JYO196040 KIK196037:KIK196040 KSG196037:KSG196040 LCC196037:LCC196040 LLY196037:LLY196040 LVU196037:LVU196040 MFQ196037:MFQ196040 MPM196037:MPM196040 MZI196037:MZI196040 NJE196037:NJE196040 NTA196037:NTA196040 OCW196037:OCW196040 OMS196037:OMS196040 OWO196037:OWO196040 PGK196037:PGK196040 PQG196037:PQG196040 QAC196037:QAC196040 QJY196037:QJY196040 QTU196037:QTU196040 RDQ196037:RDQ196040 RNM196037:RNM196040 RXI196037:RXI196040 SHE196037:SHE196040 SRA196037:SRA196040 TAW196037:TAW196040 TKS196037:TKS196040 TUO196037:TUO196040 UEK196037:UEK196040 UOG196037:UOG196040 UYC196037:UYC196040 VHY196037:VHY196040 VRU196037:VRU196040 WBQ196037:WBQ196040 WLM196037:WLM196040 WVI196037:WVI196040 A261573:A261576 IW261573:IW261576 SS261573:SS261576 ACO261573:ACO261576 AMK261573:AMK261576 AWG261573:AWG261576 BGC261573:BGC261576 BPY261573:BPY261576 BZU261573:BZU261576 CJQ261573:CJQ261576 CTM261573:CTM261576 DDI261573:DDI261576 DNE261573:DNE261576 DXA261573:DXA261576 EGW261573:EGW261576 EQS261573:EQS261576 FAO261573:FAO261576 FKK261573:FKK261576 FUG261573:FUG261576 GEC261573:GEC261576 GNY261573:GNY261576 GXU261573:GXU261576 HHQ261573:HHQ261576 HRM261573:HRM261576 IBI261573:IBI261576 ILE261573:ILE261576 IVA261573:IVA261576 JEW261573:JEW261576 JOS261573:JOS261576 JYO261573:JYO261576 KIK261573:KIK261576 KSG261573:KSG261576 LCC261573:LCC261576 LLY261573:LLY261576 LVU261573:LVU261576 MFQ261573:MFQ261576 MPM261573:MPM261576 MZI261573:MZI261576 NJE261573:NJE261576 NTA261573:NTA261576 OCW261573:OCW261576 OMS261573:OMS261576 OWO261573:OWO261576 PGK261573:PGK261576 PQG261573:PQG261576 QAC261573:QAC261576 QJY261573:QJY261576 QTU261573:QTU261576 RDQ261573:RDQ261576 RNM261573:RNM261576 RXI261573:RXI261576 SHE261573:SHE261576 SRA261573:SRA261576 TAW261573:TAW261576 TKS261573:TKS261576 TUO261573:TUO261576 UEK261573:UEK261576 UOG261573:UOG261576 UYC261573:UYC261576 VHY261573:VHY261576 VRU261573:VRU261576 WBQ261573:WBQ261576 WLM261573:WLM261576 WVI261573:WVI261576 A327109:A327112 IW327109:IW327112 SS327109:SS327112 ACO327109:ACO327112 AMK327109:AMK327112 AWG327109:AWG327112 BGC327109:BGC327112 BPY327109:BPY327112 BZU327109:BZU327112 CJQ327109:CJQ327112 CTM327109:CTM327112 DDI327109:DDI327112 DNE327109:DNE327112 DXA327109:DXA327112 EGW327109:EGW327112 EQS327109:EQS327112 FAO327109:FAO327112 FKK327109:FKK327112 FUG327109:FUG327112 GEC327109:GEC327112 GNY327109:GNY327112 GXU327109:GXU327112 HHQ327109:HHQ327112 HRM327109:HRM327112 IBI327109:IBI327112 ILE327109:ILE327112 IVA327109:IVA327112 JEW327109:JEW327112 JOS327109:JOS327112 JYO327109:JYO327112 KIK327109:KIK327112 KSG327109:KSG327112 LCC327109:LCC327112 LLY327109:LLY327112 LVU327109:LVU327112 MFQ327109:MFQ327112 MPM327109:MPM327112 MZI327109:MZI327112 NJE327109:NJE327112 NTA327109:NTA327112 OCW327109:OCW327112 OMS327109:OMS327112 OWO327109:OWO327112 PGK327109:PGK327112 PQG327109:PQG327112 QAC327109:QAC327112 QJY327109:QJY327112 QTU327109:QTU327112 RDQ327109:RDQ327112 RNM327109:RNM327112 RXI327109:RXI327112 SHE327109:SHE327112 SRA327109:SRA327112 TAW327109:TAW327112 TKS327109:TKS327112 TUO327109:TUO327112 UEK327109:UEK327112 UOG327109:UOG327112 UYC327109:UYC327112 VHY327109:VHY327112 VRU327109:VRU327112 WBQ327109:WBQ327112 WLM327109:WLM327112 WVI327109:WVI327112 A392645:A392648 IW392645:IW392648 SS392645:SS392648 ACO392645:ACO392648 AMK392645:AMK392648 AWG392645:AWG392648 BGC392645:BGC392648 BPY392645:BPY392648 BZU392645:BZU392648 CJQ392645:CJQ392648 CTM392645:CTM392648 DDI392645:DDI392648 DNE392645:DNE392648 DXA392645:DXA392648 EGW392645:EGW392648 EQS392645:EQS392648 FAO392645:FAO392648 FKK392645:FKK392648 FUG392645:FUG392648 GEC392645:GEC392648 GNY392645:GNY392648 GXU392645:GXU392648 HHQ392645:HHQ392648 HRM392645:HRM392648 IBI392645:IBI392648 ILE392645:ILE392648 IVA392645:IVA392648 JEW392645:JEW392648 JOS392645:JOS392648 JYO392645:JYO392648 KIK392645:KIK392648 KSG392645:KSG392648 LCC392645:LCC392648 LLY392645:LLY392648 LVU392645:LVU392648 MFQ392645:MFQ392648 MPM392645:MPM392648 MZI392645:MZI392648 NJE392645:NJE392648 NTA392645:NTA392648 OCW392645:OCW392648 OMS392645:OMS392648 OWO392645:OWO392648 PGK392645:PGK392648 PQG392645:PQG392648 QAC392645:QAC392648 QJY392645:QJY392648 QTU392645:QTU392648 RDQ392645:RDQ392648 RNM392645:RNM392648 RXI392645:RXI392648 SHE392645:SHE392648 SRA392645:SRA392648 TAW392645:TAW392648 TKS392645:TKS392648 TUO392645:TUO392648 UEK392645:UEK392648 UOG392645:UOG392648 UYC392645:UYC392648 VHY392645:VHY392648 VRU392645:VRU392648 WBQ392645:WBQ392648 WLM392645:WLM392648 WVI392645:WVI392648 A458181:A458184 IW458181:IW458184 SS458181:SS458184 ACO458181:ACO458184 AMK458181:AMK458184 AWG458181:AWG458184 BGC458181:BGC458184 BPY458181:BPY458184 BZU458181:BZU458184 CJQ458181:CJQ458184 CTM458181:CTM458184 DDI458181:DDI458184 DNE458181:DNE458184 DXA458181:DXA458184 EGW458181:EGW458184 EQS458181:EQS458184 FAO458181:FAO458184 FKK458181:FKK458184 FUG458181:FUG458184 GEC458181:GEC458184 GNY458181:GNY458184 GXU458181:GXU458184 HHQ458181:HHQ458184 HRM458181:HRM458184 IBI458181:IBI458184 ILE458181:ILE458184 IVA458181:IVA458184 JEW458181:JEW458184 JOS458181:JOS458184 JYO458181:JYO458184 KIK458181:KIK458184 KSG458181:KSG458184 LCC458181:LCC458184 LLY458181:LLY458184 LVU458181:LVU458184 MFQ458181:MFQ458184 MPM458181:MPM458184 MZI458181:MZI458184 NJE458181:NJE458184 NTA458181:NTA458184 OCW458181:OCW458184 OMS458181:OMS458184 OWO458181:OWO458184 PGK458181:PGK458184 PQG458181:PQG458184 QAC458181:QAC458184 QJY458181:QJY458184 QTU458181:QTU458184 RDQ458181:RDQ458184 RNM458181:RNM458184 RXI458181:RXI458184 SHE458181:SHE458184 SRA458181:SRA458184 TAW458181:TAW458184 TKS458181:TKS458184 TUO458181:TUO458184 UEK458181:UEK458184 UOG458181:UOG458184 UYC458181:UYC458184 VHY458181:VHY458184 VRU458181:VRU458184 WBQ458181:WBQ458184 WLM458181:WLM458184 WVI458181:WVI458184 A523717:A523720 IW523717:IW523720 SS523717:SS523720 ACO523717:ACO523720 AMK523717:AMK523720 AWG523717:AWG523720 BGC523717:BGC523720 BPY523717:BPY523720 BZU523717:BZU523720 CJQ523717:CJQ523720 CTM523717:CTM523720 DDI523717:DDI523720 DNE523717:DNE523720 DXA523717:DXA523720 EGW523717:EGW523720 EQS523717:EQS523720 FAO523717:FAO523720 FKK523717:FKK523720 FUG523717:FUG523720 GEC523717:GEC523720 GNY523717:GNY523720 GXU523717:GXU523720 HHQ523717:HHQ523720 HRM523717:HRM523720 IBI523717:IBI523720 ILE523717:ILE523720 IVA523717:IVA523720 JEW523717:JEW523720 JOS523717:JOS523720 JYO523717:JYO523720 KIK523717:KIK523720 KSG523717:KSG523720 LCC523717:LCC523720 LLY523717:LLY523720 LVU523717:LVU523720 MFQ523717:MFQ523720 MPM523717:MPM523720 MZI523717:MZI523720 NJE523717:NJE523720 NTA523717:NTA523720 OCW523717:OCW523720 OMS523717:OMS523720 OWO523717:OWO523720 PGK523717:PGK523720 PQG523717:PQG523720 QAC523717:QAC523720 QJY523717:QJY523720 QTU523717:QTU523720 RDQ523717:RDQ523720 RNM523717:RNM523720 RXI523717:RXI523720 SHE523717:SHE523720 SRA523717:SRA523720 TAW523717:TAW523720 TKS523717:TKS523720 TUO523717:TUO523720 UEK523717:UEK523720 UOG523717:UOG523720 UYC523717:UYC523720 VHY523717:VHY523720 VRU523717:VRU523720 WBQ523717:WBQ523720 WLM523717:WLM523720 WVI523717:WVI523720 A589253:A589256 IW589253:IW589256 SS589253:SS589256 ACO589253:ACO589256 AMK589253:AMK589256 AWG589253:AWG589256 BGC589253:BGC589256 BPY589253:BPY589256 BZU589253:BZU589256 CJQ589253:CJQ589256 CTM589253:CTM589256 DDI589253:DDI589256 DNE589253:DNE589256 DXA589253:DXA589256 EGW589253:EGW589256 EQS589253:EQS589256 FAO589253:FAO589256 FKK589253:FKK589256 FUG589253:FUG589256 GEC589253:GEC589256 GNY589253:GNY589256 GXU589253:GXU589256 HHQ589253:HHQ589256 HRM589253:HRM589256 IBI589253:IBI589256 ILE589253:ILE589256 IVA589253:IVA589256 JEW589253:JEW589256 JOS589253:JOS589256 JYO589253:JYO589256 KIK589253:KIK589256 KSG589253:KSG589256 LCC589253:LCC589256 LLY589253:LLY589256 LVU589253:LVU589256 MFQ589253:MFQ589256 MPM589253:MPM589256 MZI589253:MZI589256 NJE589253:NJE589256 NTA589253:NTA589256 OCW589253:OCW589256 OMS589253:OMS589256 OWO589253:OWO589256 PGK589253:PGK589256 PQG589253:PQG589256 QAC589253:QAC589256 QJY589253:QJY589256 QTU589253:QTU589256 RDQ589253:RDQ589256 RNM589253:RNM589256 RXI589253:RXI589256 SHE589253:SHE589256 SRA589253:SRA589256 TAW589253:TAW589256 TKS589253:TKS589256 TUO589253:TUO589256 UEK589253:UEK589256 UOG589253:UOG589256 UYC589253:UYC589256 VHY589253:VHY589256 VRU589253:VRU589256 WBQ589253:WBQ589256 WLM589253:WLM589256 WVI589253:WVI589256 A654789:A654792 IW654789:IW654792 SS654789:SS654792 ACO654789:ACO654792 AMK654789:AMK654792 AWG654789:AWG654792 BGC654789:BGC654792 BPY654789:BPY654792 BZU654789:BZU654792 CJQ654789:CJQ654792 CTM654789:CTM654792 DDI654789:DDI654792 DNE654789:DNE654792 DXA654789:DXA654792 EGW654789:EGW654792 EQS654789:EQS654792 FAO654789:FAO654792 FKK654789:FKK654792 FUG654789:FUG654792 GEC654789:GEC654792 GNY654789:GNY654792 GXU654789:GXU654792 HHQ654789:HHQ654792 HRM654789:HRM654792 IBI654789:IBI654792 ILE654789:ILE654792 IVA654789:IVA654792 JEW654789:JEW654792 JOS654789:JOS654792 JYO654789:JYO654792 KIK654789:KIK654792 KSG654789:KSG654792 LCC654789:LCC654792 LLY654789:LLY654792 LVU654789:LVU654792 MFQ654789:MFQ654792 MPM654789:MPM654792 MZI654789:MZI654792 NJE654789:NJE654792 NTA654789:NTA654792 OCW654789:OCW654792 OMS654789:OMS654792 OWO654789:OWO654792 PGK654789:PGK654792 PQG654789:PQG654792 QAC654789:QAC654792 QJY654789:QJY654792 QTU654789:QTU654792 RDQ654789:RDQ654792 RNM654789:RNM654792 RXI654789:RXI654792 SHE654789:SHE654792 SRA654789:SRA654792 TAW654789:TAW654792 TKS654789:TKS654792 TUO654789:TUO654792 UEK654789:UEK654792 UOG654789:UOG654792 UYC654789:UYC654792 VHY654789:VHY654792 VRU654789:VRU654792 WBQ654789:WBQ654792 WLM654789:WLM654792 WVI654789:WVI654792 A720325:A720328 IW720325:IW720328 SS720325:SS720328 ACO720325:ACO720328 AMK720325:AMK720328 AWG720325:AWG720328 BGC720325:BGC720328 BPY720325:BPY720328 BZU720325:BZU720328 CJQ720325:CJQ720328 CTM720325:CTM720328 DDI720325:DDI720328 DNE720325:DNE720328 DXA720325:DXA720328 EGW720325:EGW720328 EQS720325:EQS720328 FAO720325:FAO720328 FKK720325:FKK720328 FUG720325:FUG720328 GEC720325:GEC720328 GNY720325:GNY720328 GXU720325:GXU720328 HHQ720325:HHQ720328 HRM720325:HRM720328 IBI720325:IBI720328 ILE720325:ILE720328 IVA720325:IVA720328 JEW720325:JEW720328 JOS720325:JOS720328 JYO720325:JYO720328 KIK720325:KIK720328 KSG720325:KSG720328 LCC720325:LCC720328 LLY720325:LLY720328 LVU720325:LVU720328 MFQ720325:MFQ720328 MPM720325:MPM720328 MZI720325:MZI720328 NJE720325:NJE720328 NTA720325:NTA720328 OCW720325:OCW720328 OMS720325:OMS720328 OWO720325:OWO720328 PGK720325:PGK720328 PQG720325:PQG720328 QAC720325:QAC720328 QJY720325:QJY720328 QTU720325:QTU720328 RDQ720325:RDQ720328 RNM720325:RNM720328 RXI720325:RXI720328 SHE720325:SHE720328 SRA720325:SRA720328 TAW720325:TAW720328 TKS720325:TKS720328 TUO720325:TUO720328 UEK720325:UEK720328 UOG720325:UOG720328 UYC720325:UYC720328 VHY720325:VHY720328 VRU720325:VRU720328 WBQ720325:WBQ720328 WLM720325:WLM720328 WVI720325:WVI720328 A785861:A785864 IW785861:IW785864 SS785861:SS785864 ACO785861:ACO785864 AMK785861:AMK785864 AWG785861:AWG785864 BGC785861:BGC785864 BPY785861:BPY785864 BZU785861:BZU785864 CJQ785861:CJQ785864 CTM785861:CTM785864 DDI785861:DDI785864 DNE785861:DNE785864 DXA785861:DXA785864 EGW785861:EGW785864 EQS785861:EQS785864 FAO785861:FAO785864 FKK785861:FKK785864 FUG785861:FUG785864 GEC785861:GEC785864 GNY785861:GNY785864 GXU785861:GXU785864 HHQ785861:HHQ785864 HRM785861:HRM785864 IBI785861:IBI785864 ILE785861:ILE785864 IVA785861:IVA785864 JEW785861:JEW785864 JOS785861:JOS785864 JYO785861:JYO785864 KIK785861:KIK785864 KSG785861:KSG785864 LCC785861:LCC785864 LLY785861:LLY785864 LVU785861:LVU785864 MFQ785861:MFQ785864 MPM785861:MPM785864 MZI785861:MZI785864 NJE785861:NJE785864 NTA785861:NTA785864 OCW785861:OCW785864 OMS785861:OMS785864 OWO785861:OWO785864 PGK785861:PGK785864 PQG785861:PQG785864 QAC785861:QAC785864 QJY785861:QJY785864 QTU785861:QTU785864 RDQ785861:RDQ785864 RNM785861:RNM785864 RXI785861:RXI785864 SHE785861:SHE785864 SRA785861:SRA785864 TAW785861:TAW785864 TKS785861:TKS785864 TUO785861:TUO785864 UEK785861:UEK785864 UOG785861:UOG785864 UYC785861:UYC785864 VHY785861:VHY785864 VRU785861:VRU785864 WBQ785861:WBQ785864 WLM785861:WLM785864 WVI785861:WVI785864 A851397:A851400 IW851397:IW851400 SS851397:SS851400 ACO851397:ACO851400 AMK851397:AMK851400 AWG851397:AWG851400 BGC851397:BGC851400 BPY851397:BPY851400 BZU851397:BZU851400 CJQ851397:CJQ851400 CTM851397:CTM851400 DDI851397:DDI851400 DNE851397:DNE851400 DXA851397:DXA851400 EGW851397:EGW851400 EQS851397:EQS851400 FAO851397:FAO851400 FKK851397:FKK851400 FUG851397:FUG851400 GEC851397:GEC851400 GNY851397:GNY851400 GXU851397:GXU851400 HHQ851397:HHQ851400 HRM851397:HRM851400 IBI851397:IBI851400 ILE851397:ILE851400 IVA851397:IVA851400 JEW851397:JEW851400 JOS851397:JOS851400 JYO851397:JYO851400 KIK851397:KIK851400 KSG851397:KSG851400 LCC851397:LCC851400 LLY851397:LLY851400 LVU851397:LVU851400 MFQ851397:MFQ851400 MPM851397:MPM851400 MZI851397:MZI851400 NJE851397:NJE851400 NTA851397:NTA851400 OCW851397:OCW851400 OMS851397:OMS851400 OWO851397:OWO851400 PGK851397:PGK851400 PQG851397:PQG851400 QAC851397:QAC851400 QJY851397:QJY851400 QTU851397:QTU851400 RDQ851397:RDQ851400 RNM851397:RNM851400 RXI851397:RXI851400 SHE851397:SHE851400 SRA851397:SRA851400 TAW851397:TAW851400 TKS851397:TKS851400 TUO851397:TUO851400 UEK851397:UEK851400 UOG851397:UOG851400 UYC851397:UYC851400 VHY851397:VHY851400 VRU851397:VRU851400 WBQ851397:WBQ851400 WLM851397:WLM851400 WVI851397:WVI851400 A916933:A916936 IW916933:IW916936 SS916933:SS916936 ACO916933:ACO916936 AMK916933:AMK916936 AWG916933:AWG916936 BGC916933:BGC916936 BPY916933:BPY916936 BZU916933:BZU916936 CJQ916933:CJQ916936 CTM916933:CTM916936 DDI916933:DDI916936 DNE916933:DNE916936 DXA916933:DXA916936 EGW916933:EGW916936 EQS916933:EQS916936 FAO916933:FAO916936 FKK916933:FKK916936 FUG916933:FUG916936 GEC916933:GEC916936 GNY916933:GNY916936 GXU916933:GXU916936 HHQ916933:HHQ916936 HRM916933:HRM916936 IBI916933:IBI916936 ILE916933:ILE916936 IVA916933:IVA916936 JEW916933:JEW916936 JOS916933:JOS916936 JYO916933:JYO916936 KIK916933:KIK916936 KSG916933:KSG916936 LCC916933:LCC916936 LLY916933:LLY916936 LVU916933:LVU916936 MFQ916933:MFQ916936 MPM916933:MPM916936 MZI916933:MZI916936 NJE916933:NJE916936 NTA916933:NTA916936 OCW916933:OCW916936 OMS916933:OMS916936 OWO916933:OWO916936 PGK916933:PGK916936 PQG916933:PQG916936 QAC916933:QAC916936 QJY916933:QJY916936 QTU916933:QTU916936 RDQ916933:RDQ916936 RNM916933:RNM916936 RXI916933:RXI916936 SHE916933:SHE916936 SRA916933:SRA916936 TAW916933:TAW916936 TKS916933:TKS916936 TUO916933:TUO916936 UEK916933:UEK916936 UOG916933:UOG916936 UYC916933:UYC916936 VHY916933:VHY916936 VRU916933:VRU916936 WBQ916933:WBQ916936 WLM916933:WLM916936 WVI916933:WVI916936 A982469:A982472 IW982469:IW982472 SS982469:SS982472 ACO982469:ACO982472 AMK982469:AMK982472 AWG982469:AWG982472 BGC982469:BGC982472 BPY982469:BPY982472 BZU982469:BZU982472 CJQ982469:CJQ982472 CTM982469:CTM982472 DDI982469:DDI982472 DNE982469:DNE982472 DXA982469:DXA982472 EGW982469:EGW982472 EQS982469:EQS982472 FAO982469:FAO982472 FKK982469:FKK982472 FUG982469:FUG982472 GEC982469:GEC982472 GNY982469:GNY982472 GXU982469:GXU982472 HHQ982469:HHQ982472 HRM982469:HRM982472 IBI982469:IBI982472 ILE982469:ILE982472 IVA982469:IVA982472 JEW982469:JEW982472 JOS982469:JOS982472 JYO982469:JYO982472 KIK982469:KIK982472 KSG982469:KSG982472 LCC982469:LCC982472 LLY982469:LLY982472 LVU982469:LVU982472 MFQ982469:MFQ982472 MPM982469:MPM982472 MZI982469:MZI982472 NJE982469:NJE982472 NTA982469:NTA982472 OCW982469:OCW982472 OMS982469:OMS982472 OWO982469:OWO982472 PGK982469:PGK982472 PQG982469:PQG982472 QAC982469:QAC982472 QJY982469:QJY982472 QTU982469:QTU982472 RDQ982469:RDQ982472 RNM982469:RNM982472 RXI982469:RXI982472 SHE982469:SHE982472 SRA982469:SRA982472 TAW982469:TAW982472 TKS982469:TKS982472 TUO982469:TUO982472 UEK982469:UEK982472 UOG982469:UOG982472 UYC982469:UYC982472 VHY982469:VHY982472 VRU982469:VRU982472 WBQ982469:WBQ982472 WLM982469:WLM982472 WVI982469:WVI982472" xr:uid="{00000000-0002-0000-0100-000000000000}">
      <formula1>$Y$47:$Y$49</formula1>
    </dataValidation>
    <dataValidation type="list" allowBlank="1" showInputMessage="1" showErrorMessage="1" sqref="F1044 JB1044 SX1044 ACT1044 AMP1044 AWL1044 BGH1044 BQD1044 BZZ1044 CJV1044 CTR1044 DDN1044 DNJ1044 DXF1044 EHB1044 EQX1044 FAT1044 FKP1044 FUL1044 GEH1044 GOD1044 GXZ1044 HHV1044 HRR1044 IBN1044 ILJ1044 IVF1044 JFB1044 JOX1044 JYT1044 KIP1044 KSL1044 LCH1044 LMD1044 LVZ1044 MFV1044 MPR1044 MZN1044 NJJ1044 NTF1044 ODB1044 OMX1044 OWT1044 PGP1044 PQL1044 QAH1044 QKD1044 QTZ1044 RDV1044 RNR1044 RXN1044 SHJ1044 SRF1044 TBB1044 TKX1044 TUT1044 UEP1044 UOL1044 UYH1044 VID1044 VRZ1044 WBV1044 WLR1044 WVN1044 F66766 JB66766 SX66766 ACT66766 AMP66766 AWL66766 BGH66766 BQD66766 BZZ66766 CJV66766 CTR66766 DDN66766 DNJ66766 DXF66766 EHB66766 EQX66766 FAT66766 FKP66766 FUL66766 GEH66766 GOD66766 GXZ66766 HHV66766 HRR66766 IBN66766 ILJ66766 IVF66766 JFB66766 JOX66766 JYT66766 KIP66766 KSL66766 LCH66766 LMD66766 LVZ66766 MFV66766 MPR66766 MZN66766 NJJ66766 NTF66766 ODB66766 OMX66766 OWT66766 PGP66766 PQL66766 QAH66766 QKD66766 QTZ66766 RDV66766 RNR66766 RXN66766 SHJ66766 SRF66766 TBB66766 TKX66766 TUT66766 UEP66766 UOL66766 UYH66766 VID66766 VRZ66766 WBV66766 WLR66766 WVN66766 F132302 JB132302 SX132302 ACT132302 AMP132302 AWL132302 BGH132302 BQD132302 BZZ132302 CJV132302 CTR132302 DDN132302 DNJ132302 DXF132302 EHB132302 EQX132302 FAT132302 FKP132302 FUL132302 GEH132302 GOD132302 GXZ132302 HHV132302 HRR132302 IBN132302 ILJ132302 IVF132302 JFB132302 JOX132302 JYT132302 KIP132302 KSL132302 LCH132302 LMD132302 LVZ132302 MFV132302 MPR132302 MZN132302 NJJ132302 NTF132302 ODB132302 OMX132302 OWT132302 PGP132302 PQL132302 QAH132302 QKD132302 QTZ132302 RDV132302 RNR132302 RXN132302 SHJ132302 SRF132302 TBB132302 TKX132302 TUT132302 UEP132302 UOL132302 UYH132302 VID132302 VRZ132302 WBV132302 WLR132302 WVN132302 F197838 JB197838 SX197838 ACT197838 AMP197838 AWL197838 BGH197838 BQD197838 BZZ197838 CJV197838 CTR197838 DDN197838 DNJ197838 DXF197838 EHB197838 EQX197838 FAT197838 FKP197838 FUL197838 GEH197838 GOD197838 GXZ197838 HHV197838 HRR197838 IBN197838 ILJ197838 IVF197838 JFB197838 JOX197838 JYT197838 KIP197838 KSL197838 LCH197838 LMD197838 LVZ197838 MFV197838 MPR197838 MZN197838 NJJ197838 NTF197838 ODB197838 OMX197838 OWT197838 PGP197838 PQL197838 QAH197838 QKD197838 QTZ197838 RDV197838 RNR197838 RXN197838 SHJ197838 SRF197838 TBB197838 TKX197838 TUT197838 UEP197838 UOL197838 UYH197838 VID197838 VRZ197838 WBV197838 WLR197838 WVN197838 F263374 JB263374 SX263374 ACT263374 AMP263374 AWL263374 BGH263374 BQD263374 BZZ263374 CJV263374 CTR263374 DDN263374 DNJ263374 DXF263374 EHB263374 EQX263374 FAT263374 FKP263374 FUL263374 GEH263374 GOD263374 GXZ263374 HHV263374 HRR263374 IBN263374 ILJ263374 IVF263374 JFB263374 JOX263374 JYT263374 KIP263374 KSL263374 LCH263374 LMD263374 LVZ263374 MFV263374 MPR263374 MZN263374 NJJ263374 NTF263374 ODB263374 OMX263374 OWT263374 PGP263374 PQL263374 QAH263374 QKD263374 QTZ263374 RDV263374 RNR263374 RXN263374 SHJ263374 SRF263374 TBB263374 TKX263374 TUT263374 UEP263374 UOL263374 UYH263374 VID263374 VRZ263374 WBV263374 WLR263374 WVN263374 F328910 JB328910 SX328910 ACT328910 AMP328910 AWL328910 BGH328910 BQD328910 BZZ328910 CJV328910 CTR328910 DDN328910 DNJ328910 DXF328910 EHB328910 EQX328910 FAT328910 FKP328910 FUL328910 GEH328910 GOD328910 GXZ328910 HHV328910 HRR328910 IBN328910 ILJ328910 IVF328910 JFB328910 JOX328910 JYT328910 KIP328910 KSL328910 LCH328910 LMD328910 LVZ328910 MFV328910 MPR328910 MZN328910 NJJ328910 NTF328910 ODB328910 OMX328910 OWT328910 PGP328910 PQL328910 QAH328910 QKD328910 QTZ328910 RDV328910 RNR328910 RXN328910 SHJ328910 SRF328910 TBB328910 TKX328910 TUT328910 UEP328910 UOL328910 UYH328910 VID328910 VRZ328910 WBV328910 WLR328910 WVN328910 F394446 JB394446 SX394446 ACT394446 AMP394446 AWL394446 BGH394446 BQD394446 BZZ394446 CJV394446 CTR394446 DDN394446 DNJ394446 DXF394446 EHB394446 EQX394446 FAT394446 FKP394446 FUL394446 GEH394446 GOD394446 GXZ394446 HHV394446 HRR394446 IBN394446 ILJ394446 IVF394446 JFB394446 JOX394446 JYT394446 KIP394446 KSL394446 LCH394446 LMD394446 LVZ394446 MFV394446 MPR394446 MZN394446 NJJ394446 NTF394446 ODB394446 OMX394446 OWT394446 PGP394446 PQL394446 QAH394446 QKD394446 QTZ394446 RDV394446 RNR394446 RXN394446 SHJ394446 SRF394446 TBB394446 TKX394446 TUT394446 UEP394446 UOL394446 UYH394446 VID394446 VRZ394446 WBV394446 WLR394446 WVN394446 F459982 JB459982 SX459982 ACT459982 AMP459982 AWL459982 BGH459982 BQD459982 BZZ459982 CJV459982 CTR459982 DDN459982 DNJ459982 DXF459982 EHB459982 EQX459982 FAT459982 FKP459982 FUL459982 GEH459982 GOD459982 GXZ459982 HHV459982 HRR459982 IBN459982 ILJ459982 IVF459982 JFB459982 JOX459982 JYT459982 KIP459982 KSL459982 LCH459982 LMD459982 LVZ459982 MFV459982 MPR459982 MZN459982 NJJ459982 NTF459982 ODB459982 OMX459982 OWT459982 PGP459982 PQL459982 QAH459982 QKD459982 QTZ459982 RDV459982 RNR459982 RXN459982 SHJ459982 SRF459982 TBB459982 TKX459982 TUT459982 UEP459982 UOL459982 UYH459982 VID459982 VRZ459982 WBV459982 WLR459982 WVN459982 F525518 JB525518 SX525518 ACT525518 AMP525518 AWL525518 BGH525518 BQD525518 BZZ525518 CJV525518 CTR525518 DDN525518 DNJ525518 DXF525518 EHB525518 EQX525518 FAT525518 FKP525518 FUL525518 GEH525518 GOD525518 GXZ525518 HHV525518 HRR525518 IBN525518 ILJ525518 IVF525518 JFB525518 JOX525518 JYT525518 KIP525518 KSL525518 LCH525518 LMD525518 LVZ525518 MFV525518 MPR525518 MZN525518 NJJ525518 NTF525518 ODB525518 OMX525518 OWT525518 PGP525518 PQL525518 QAH525518 QKD525518 QTZ525518 RDV525518 RNR525518 RXN525518 SHJ525518 SRF525518 TBB525518 TKX525518 TUT525518 UEP525518 UOL525518 UYH525518 VID525518 VRZ525518 WBV525518 WLR525518 WVN525518 F591054 JB591054 SX591054 ACT591054 AMP591054 AWL591054 BGH591054 BQD591054 BZZ591054 CJV591054 CTR591054 DDN591054 DNJ591054 DXF591054 EHB591054 EQX591054 FAT591054 FKP591054 FUL591054 GEH591054 GOD591054 GXZ591054 HHV591054 HRR591054 IBN591054 ILJ591054 IVF591054 JFB591054 JOX591054 JYT591054 KIP591054 KSL591054 LCH591054 LMD591054 LVZ591054 MFV591054 MPR591054 MZN591054 NJJ591054 NTF591054 ODB591054 OMX591054 OWT591054 PGP591054 PQL591054 QAH591054 QKD591054 QTZ591054 RDV591054 RNR591054 RXN591054 SHJ591054 SRF591054 TBB591054 TKX591054 TUT591054 UEP591054 UOL591054 UYH591054 VID591054 VRZ591054 WBV591054 WLR591054 WVN591054 F656590 JB656590 SX656590 ACT656590 AMP656590 AWL656590 BGH656590 BQD656590 BZZ656590 CJV656590 CTR656590 DDN656590 DNJ656590 DXF656590 EHB656590 EQX656590 FAT656590 FKP656590 FUL656590 GEH656590 GOD656590 GXZ656590 HHV656590 HRR656590 IBN656590 ILJ656590 IVF656590 JFB656590 JOX656590 JYT656590 KIP656590 KSL656590 LCH656590 LMD656590 LVZ656590 MFV656590 MPR656590 MZN656590 NJJ656590 NTF656590 ODB656590 OMX656590 OWT656590 PGP656590 PQL656590 QAH656590 QKD656590 QTZ656590 RDV656590 RNR656590 RXN656590 SHJ656590 SRF656590 TBB656590 TKX656590 TUT656590 UEP656590 UOL656590 UYH656590 VID656590 VRZ656590 WBV656590 WLR656590 WVN656590 F722126 JB722126 SX722126 ACT722126 AMP722126 AWL722126 BGH722126 BQD722126 BZZ722126 CJV722126 CTR722126 DDN722126 DNJ722126 DXF722126 EHB722126 EQX722126 FAT722126 FKP722126 FUL722126 GEH722126 GOD722126 GXZ722126 HHV722126 HRR722126 IBN722126 ILJ722126 IVF722126 JFB722126 JOX722126 JYT722126 KIP722126 KSL722126 LCH722126 LMD722126 LVZ722126 MFV722126 MPR722126 MZN722126 NJJ722126 NTF722126 ODB722126 OMX722126 OWT722126 PGP722126 PQL722126 QAH722126 QKD722126 QTZ722126 RDV722126 RNR722126 RXN722126 SHJ722126 SRF722126 TBB722126 TKX722126 TUT722126 UEP722126 UOL722126 UYH722126 VID722126 VRZ722126 WBV722126 WLR722126 WVN722126 F787662 JB787662 SX787662 ACT787662 AMP787662 AWL787662 BGH787662 BQD787662 BZZ787662 CJV787662 CTR787662 DDN787662 DNJ787662 DXF787662 EHB787662 EQX787662 FAT787662 FKP787662 FUL787662 GEH787662 GOD787662 GXZ787662 HHV787662 HRR787662 IBN787662 ILJ787662 IVF787662 JFB787662 JOX787662 JYT787662 KIP787662 KSL787662 LCH787662 LMD787662 LVZ787662 MFV787662 MPR787662 MZN787662 NJJ787662 NTF787662 ODB787662 OMX787662 OWT787662 PGP787662 PQL787662 QAH787662 QKD787662 QTZ787662 RDV787662 RNR787662 RXN787662 SHJ787662 SRF787662 TBB787662 TKX787662 TUT787662 UEP787662 UOL787662 UYH787662 VID787662 VRZ787662 WBV787662 WLR787662 WVN787662 F853198 JB853198 SX853198 ACT853198 AMP853198 AWL853198 BGH853198 BQD853198 BZZ853198 CJV853198 CTR853198 DDN853198 DNJ853198 DXF853198 EHB853198 EQX853198 FAT853198 FKP853198 FUL853198 GEH853198 GOD853198 GXZ853198 HHV853198 HRR853198 IBN853198 ILJ853198 IVF853198 JFB853198 JOX853198 JYT853198 KIP853198 KSL853198 LCH853198 LMD853198 LVZ853198 MFV853198 MPR853198 MZN853198 NJJ853198 NTF853198 ODB853198 OMX853198 OWT853198 PGP853198 PQL853198 QAH853198 QKD853198 QTZ853198 RDV853198 RNR853198 RXN853198 SHJ853198 SRF853198 TBB853198 TKX853198 TUT853198 UEP853198 UOL853198 UYH853198 VID853198 VRZ853198 WBV853198 WLR853198 WVN853198 F918734 JB918734 SX918734 ACT918734 AMP918734 AWL918734 BGH918734 BQD918734 BZZ918734 CJV918734 CTR918734 DDN918734 DNJ918734 DXF918734 EHB918734 EQX918734 FAT918734 FKP918734 FUL918734 GEH918734 GOD918734 GXZ918734 HHV918734 HRR918734 IBN918734 ILJ918734 IVF918734 JFB918734 JOX918734 JYT918734 KIP918734 KSL918734 LCH918734 LMD918734 LVZ918734 MFV918734 MPR918734 MZN918734 NJJ918734 NTF918734 ODB918734 OMX918734 OWT918734 PGP918734 PQL918734 QAH918734 QKD918734 QTZ918734 RDV918734 RNR918734 RXN918734 SHJ918734 SRF918734 TBB918734 TKX918734 TUT918734 UEP918734 UOL918734 UYH918734 VID918734 VRZ918734 WBV918734 WLR918734 WVN918734 F984270 JB984270 SX984270 ACT984270 AMP984270 AWL984270 BGH984270 BQD984270 BZZ984270 CJV984270 CTR984270 DDN984270 DNJ984270 DXF984270 EHB984270 EQX984270 FAT984270 FKP984270 FUL984270 GEH984270 GOD984270 GXZ984270 HHV984270 HRR984270 IBN984270 ILJ984270 IVF984270 JFB984270 JOX984270 JYT984270 KIP984270 KSL984270 LCH984270 LMD984270 LVZ984270 MFV984270 MPR984270 MZN984270 NJJ984270 NTF984270 ODB984270 OMX984270 OWT984270 PGP984270 PQL984270 QAH984270 QKD984270 QTZ984270 RDV984270 RNR984270 RXN984270 SHJ984270 SRF984270 TBB984270 TKX984270 TUT984270 UEP984270 UOL984270 UYH984270 VID984270 VRZ984270 WBV984270 WLR984270 WVN984270 F1051 JB1051 SX1051 ACT1051 AMP1051 AWL1051 BGH1051 BQD1051 BZZ1051 CJV1051 CTR1051 DDN1051 DNJ1051 DXF1051 EHB1051 EQX1051 FAT1051 FKP1051 FUL1051 GEH1051 GOD1051 GXZ1051 HHV1051 HRR1051 IBN1051 ILJ1051 IVF1051 JFB1051 JOX1051 JYT1051 KIP1051 KSL1051 LCH1051 LMD1051 LVZ1051 MFV1051 MPR1051 MZN1051 NJJ1051 NTF1051 ODB1051 OMX1051 OWT1051 PGP1051 PQL1051 QAH1051 QKD1051 QTZ1051 RDV1051 RNR1051 RXN1051 SHJ1051 SRF1051 TBB1051 TKX1051 TUT1051 UEP1051 UOL1051 UYH1051 VID1051 VRZ1051 WBV1051 WLR1051 WVN1051 F66774 JB66774 SX66774 ACT66774 AMP66774 AWL66774 BGH66774 BQD66774 BZZ66774 CJV66774 CTR66774 DDN66774 DNJ66774 DXF66774 EHB66774 EQX66774 FAT66774 FKP66774 FUL66774 GEH66774 GOD66774 GXZ66774 HHV66774 HRR66774 IBN66774 ILJ66774 IVF66774 JFB66774 JOX66774 JYT66774 KIP66774 KSL66774 LCH66774 LMD66774 LVZ66774 MFV66774 MPR66774 MZN66774 NJJ66774 NTF66774 ODB66774 OMX66774 OWT66774 PGP66774 PQL66774 QAH66774 QKD66774 QTZ66774 RDV66774 RNR66774 RXN66774 SHJ66774 SRF66774 TBB66774 TKX66774 TUT66774 UEP66774 UOL66774 UYH66774 VID66774 VRZ66774 WBV66774 WLR66774 WVN66774 F132310 JB132310 SX132310 ACT132310 AMP132310 AWL132310 BGH132310 BQD132310 BZZ132310 CJV132310 CTR132310 DDN132310 DNJ132310 DXF132310 EHB132310 EQX132310 FAT132310 FKP132310 FUL132310 GEH132310 GOD132310 GXZ132310 HHV132310 HRR132310 IBN132310 ILJ132310 IVF132310 JFB132310 JOX132310 JYT132310 KIP132310 KSL132310 LCH132310 LMD132310 LVZ132310 MFV132310 MPR132310 MZN132310 NJJ132310 NTF132310 ODB132310 OMX132310 OWT132310 PGP132310 PQL132310 QAH132310 QKD132310 QTZ132310 RDV132310 RNR132310 RXN132310 SHJ132310 SRF132310 TBB132310 TKX132310 TUT132310 UEP132310 UOL132310 UYH132310 VID132310 VRZ132310 WBV132310 WLR132310 WVN132310 F197846 JB197846 SX197846 ACT197846 AMP197846 AWL197846 BGH197846 BQD197846 BZZ197846 CJV197846 CTR197846 DDN197846 DNJ197846 DXF197846 EHB197846 EQX197846 FAT197846 FKP197846 FUL197846 GEH197846 GOD197846 GXZ197846 HHV197846 HRR197846 IBN197846 ILJ197846 IVF197846 JFB197846 JOX197846 JYT197846 KIP197846 KSL197846 LCH197846 LMD197846 LVZ197846 MFV197846 MPR197846 MZN197846 NJJ197846 NTF197846 ODB197846 OMX197846 OWT197846 PGP197846 PQL197846 QAH197846 QKD197846 QTZ197846 RDV197846 RNR197846 RXN197846 SHJ197846 SRF197846 TBB197846 TKX197846 TUT197846 UEP197846 UOL197846 UYH197846 VID197846 VRZ197846 WBV197846 WLR197846 WVN197846 F263382 JB263382 SX263382 ACT263382 AMP263382 AWL263382 BGH263382 BQD263382 BZZ263382 CJV263382 CTR263382 DDN263382 DNJ263382 DXF263382 EHB263382 EQX263382 FAT263382 FKP263382 FUL263382 GEH263382 GOD263382 GXZ263382 HHV263382 HRR263382 IBN263382 ILJ263382 IVF263382 JFB263382 JOX263382 JYT263382 KIP263382 KSL263382 LCH263382 LMD263382 LVZ263382 MFV263382 MPR263382 MZN263382 NJJ263382 NTF263382 ODB263382 OMX263382 OWT263382 PGP263382 PQL263382 QAH263382 QKD263382 QTZ263382 RDV263382 RNR263382 RXN263382 SHJ263382 SRF263382 TBB263382 TKX263382 TUT263382 UEP263382 UOL263382 UYH263382 VID263382 VRZ263382 WBV263382 WLR263382 WVN263382 F328918 JB328918 SX328918 ACT328918 AMP328918 AWL328918 BGH328918 BQD328918 BZZ328918 CJV328918 CTR328918 DDN328918 DNJ328918 DXF328918 EHB328918 EQX328918 FAT328918 FKP328918 FUL328918 GEH328918 GOD328918 GXZ328918 HHV328918 HRR328918 IBN328918 ILJ328918 IVF328918 JFB328918 JOX328918 JYT328918 KIP328918 KSL328918 LCH328918 LMD328918 LVZ328918 MFV328918 MPR328918 MZN328918 NJJ328918 NTF328918 ODB328918 OMX328918 OWT328918 PGP328918 PQL328918 QAH328918 QKD328918 QTZ328918 RDV328918 RNR328918 RXN328918 SHJ328918 SRF328918 TBB328918 TKX328918 TUT328918 UEP328918 UOL328918 UYH328918 VID328918 VRZ328918 WBV328918 WLR328918 WVN328918 F394454 JB394454 SX394454 ACT394454 AMP394454 AWL394454 BGH394454 BQD394454 BZZ394454 CJV394454 CTR394454 DDN394454 DNJ394454 DXF394454 EHB394454 EQX394454 FAT394454 FKP394454 FUL394454 GEH394454 GOD394454 GXZ394454 HHV394454 HRR394454 IBN394454 ILJ394454 IVF394454 JFB394454 JOX394454 JYT394454 KIP394454 KSL394454 LCH394454 LMD394454 LVZ394454 MFV394454 MPR394454 MZN394454 NJJ394454 NTF394454 ODB394454 OMX394454 OWT394454 PGP394454 PQL394454 QAH394454 QKD394454 QTZ394454 RDV394454 RNR394454 RXN394454 SHJ394454 SRF394454 TBB394454 TKX394454 TUT394454 UEP394454 UOL394454 UYH394454 VID394454 VRZ394454 WBV394454 WLR394454 WVN394454 F459990 JB459990 SX459990 ACT459990 AMP459990 AWL459990 BGH459990 BQD459990 BZZ459990 CJV459990 CTR459990 DDN459990 DNJ459990 DXF459990 EHB459990 EQX459990 FAT459990 FKP459990 FUL459990 GEH459990 GOD459990 GXZ459990 HHV459990 HRR459990 IBN459990 ILJ459990 IVF459990 JFB459990 JOX459990 JYT459990 KIP459990 KSL459990 LCH459990 LMD459990 LVZ459990 MFV459990 MPR459990 MZN459990 NJJ459990 NTF459990 ODB459990 OMX459990 OWT459990 PGP459990 PQL459990 QAH459990 QKD459990 QTZ459990 RDV459990 RNR459990 RXN459990 SHJ459990 SRF459990 TBB459990 TKX459990 TUT459990 UEP459990 UOL459990 UYH459990 VID459990 VRZ459990 WBV459990 WLR459990 WVN459990 F525526 JB525526 SX525526 ACT525526 AMP525526 AWL525526 BGH525526 BQD525526 BZZ525526 CJV525526 CTR525526 DDN525526 DNJ525526 DXF525526 EHB525526 EQX525526 FAT525526 FKP525526 FUL525526 GEH525526 GOD525526 GXZ525526 HHV525526 HRR525526 IBN525526 ILJ525526 IVF525526 JFB525526 JOX525526 JYT525526 KIP525526 KSL525526 LCH525526 LMD525526 LVZ525526 MFV525526 MPR525526 MZN525526 NJJ525526 NTF525526 ODB525526 OMX525526 OWT525526 PGP525526 PQL525526 QAH525526 QKD525526 QTZ525526 RDV525526 RNR525526 RXN525526 SHJ525526 SRF525526 TBB525526 TKX525526 TUT525526 UEP525526 UOL525526 UYH525526 VID525526 VRZ525526 WBV525526 WLR525526 WVN525526 F591062 JB591062 SX591062 ACT591062 AMP591062 AWL591062 BGH591062 BQD591062 BZZ591062 CJV591062 CTR591062 DDN591062 DNJ591062 DXF591062 EHB591062 EQX591062 FAT591062 FKP591062 FUL591062 GEH591062 GOD591062 GXZ591062 HHV591062 HRR591062 IBN591062 ILJ591062 IVF591062 JFB591062 JOX591062 JYT591062 KIP591062 KSL591062 LCH591062 LMD591062 LVZ591062 MFV591062 MPR591062 MZN591062 NJJ591062 NTF591062 ODB591062 OMX591062 OWT591062 PGP591062 PQL591062 QAH591062 QKD591062 QTZ591062 RDV591062 RNR591062 RXN591062 SHJ591062 SRF591062 TBB591062 TKX591062 TUT591062 UEP591062 UOL591062 UYH591062 VID591062 VRZ591062 WBV591062 WLR591062 WVN591062 F656598 JB656598 SX656598 ACT656598 AMP656598 AWL656598 BGH656598 BQD656598 BZZ656598 CJV656598 CTR656598 DDN656598 DNJ656598 DXF656598 EHB656598 EQX656598 FAT656598 FKP656598 FUL656598 GEH656598 GOD656598 GXZ656598 HHV656598 HRR656598 IBN656598 ILJ656598 IVF656598 JFB656598 JOX656598 JYT656598 KIP656598 KSL656598 LCH656598 LMD656598 LVZ656598 MFV656598 MPR656598 MZN656598 NJJ656598 NTF656598 ODB656598 OMX656598 OWT656598 PGP656598 PQL656598 QAH656598 QKD656598 QTZ656598 RDV656598 RNR656598 RXN656598 SHJ656598 SRF656598 TBB656598 TKX656598 TUT656598 UEP656598 UOL656598 UYH656598 VID656598 VRZ656598 WBV656598 WLR656598 WVN656598 F722134 JB722134 SX722134 ACT722134 AMP722134 AWL722134 BGH722134 BQD722134 BZZ722134 CJV722134 CTR722134 DDN722134 DNJ722134 DXF722134 EHB722134 EQX722134 FAT722134 FKP722134 FUL722134 GEH722134 GOD722134 GXZ722134 HHV722134 HRR722134 IBN722134 ILJ722134 IVF722134 JFB722134 JOX722134 JYT722134 KIP722134 KSL722134 LCH722134 LMD722134 LVZ722134 MFV722134 MPR722134 MZN722134 NJJ722134 NTF722134 ODB722134 OMX722134 OWT722134 PGP722134 PQL722134 QAH722134 QKD722134 QTZ722134 RDV722134 RNR722134 RXN722134 SHJ722134 SRF722134 TBB722134 TKX722134 TUT722134 UEP722134 UOL722134 UYH722134 VID722134 VRZ722134 WBV722134 WLR722134 WVN722134 F787670 JB787670 SX787670 ACT787670 AMP787670 AWL787670 BGH787670 BQD787670 BZZ787670 CJV787670 CTR787670 DDN787670 DNJ787670 DXF787670 EHB787670 EQX787670 FAT787670 FKP787670 FUL787670 GEH787670 GOD787670 GXZ787670 HHV787670 HRR787670 IBN787670 ILJ787670 IVF787670 JFB787670 JOX787670 JYT787670 KIP787670 KSL787670 LCH787670 LMD787670 LVZ787670 MFV787670 MPR787670 MZN787670 NJJ787670 NTF787670 ODB787670 OMX787670 OWT787670 PGP787670 PQL787670 QAH787670 QKD787670 QTZ787670 RDV787670 RNR787670 RXN787670 SHJ787670 SRF787670 TBB787670 TKX787670 TUT787670 UEP787670 UOL787670 UYH787670 VID787670 VRZ787670 WBV787670 WLR787670 WVN787670 F853206 JB853206 SX853206 ACT853206 AMP853206 AWL853206 BGH853206 BQD853206 BZZ853206 CJV853206 CTR853206 DDN853206 DNJ853206 DXF853206 EHB853206 EQX853206 FAT853206 FKP853206 FUL853206 GEH853206 GOD853206 GXZ853206 HHV853206 HRR853206 IBN853206 ILJ853206 IVF853206 JFB853206 JOX853206 JYT853206 KIP853206 KSL853206 LCH853206 LMD853206 LVZ853206 MFV853206 MPR853206 MZN853206 NJJ853206 NTF853206 ODB853206 OMX853206 OWT853206 PGP853206 PQL853206 QAH853206 QKD853206 QTZ853206 RDV853206 RNR853206 RXN853206 SHJ853206 SRF853206 TBB853206 TKX853206 TUT853206 UEP853206 UOL853206 UYH853206 VID853206 VRZ853206 WBV853206 WLR853206 WVN853206 F918742 JB918742 SX918742 ACT918742 AMP918742 AWL918742 BGH918742 BQD918742 BZZ918742 CJV918742 CTR918742 DDN918742 DNJ918742 DXF918742 EHB918742 EQX918742 FAT918742 FKP918742 FUL918742 GEH918742 GOD918742 GXZ918742 HHV918742 HRR918742 IBN918742 ILJ918742 IVF918742 JFB918742 JOX918742 JYT918742 KIP918742 KSL918742 LCH918742 LMD918742 LVZ918742 MFV918742 MPR918742 MZN918742 NJJ918742 NTF918742 ODB918742 OMX918742 OWT918742 PGP918742 PQL918742 QAH918742 QKD918742 QTZ918742 RDV918742 RNR918742 RXN918742 SHJ918742 SRF918742 TBB918742 TKX918742 TUT918742 UEP918742 UOL918742 UYH918742 VID918742 VRZ918742 WBV918742 WLR918742 WVN918742 F984278 JB984278 SX984278 ACT984278 AMP984278 AWL984278 BGH984278 BQD984278 BZZ984278 CJV984278 CTR984278 DDN984278 DNJ984278 DXF984278 EHB984278 EQX984278 FAT984278 FKP984278 FUL984278 GEH984278 GOD984278 GXZ984278 HHV984278 HRR984278 IBN984278 ILJ984278 IVF984278 JFB984278 JOX984278 JYT984278 KIP984278 KSL984278 LCH984278 LMD984278 LVZ984278 MFV984278 MPR984278 MZN984278 NJJ984278 NTF984278 ODB984278 OMX984278 OWT984278 PGP984278 PQL984278 QAH984278 QKD984278 QTZ984278 RDV984278 RNR984278 RXN984278 SHJ984278 SRF984278 TBB984278 TKX984278 TUT984278 UEP984278 UOL984278 UYH984278 VID984278 VRZ984278 WBV984278 WLR984278 WVN984278 F1058 JB1058 SX1058 ACT1058 AMP1058 AWL1058 BGH1058 BQD1058 BZZ1058 CJV1058 CTR1058 DDN1058 DNJ1058 DXF1058 EHB1058 EQX1058 FAT1058 FKP1058 FUL1058 GEH1058 GOD1058 GXZ1058 HHV1058 HRR1058 IBN1058 ILJ1058 IVF1058 JFB1058 JOX1058 JYT1058 KIP1058 KSL1058 LCH1058 LMD1058 LVZ1058 MFV1058 MPR1058 MZN1058 NJJ1058 NTF1058 ODB1058 OMX1058 OWT1058 PGP1058 PQL1058 QAH1058 QKD1058 QTZ1058 RDV1058 RNR1058 RXN1058 SHJ1058 SRF1058 TBB1058 TKX1058 TUT1058 UEP1058 UOL1058 UYH1058 VID1058 VRZ1058 WBV1058 WLR1058 WVN1058 F66781 JB66781 SX66781 ACT66781 AMP66781 AWL66781 BGH66781 BQD66781 BZZ66781 CJV66781 CTR66781 DDN66781 DNJ66781 DXF66781 EHB66781 EQX66781 FAT66781 FKP66781 FUL66781 GEH66781 GOD66781 GXZ66781 HHV66781 HRR66781 IBN66781 ILJ66781 IVF66781 JFB66781 JOX66781 JYT66781 KIP66781 KSL66781 LCH66781 LMD66781 LVZ66781 MFV66781 MPR66781 MZN66781 NJJ66781 NTF66781 ODB66781 OMX66781 OWT66781 PGP66781 PQL66781 QAH66781 QKD66781 QTZ66781 RDV66781 RNR66781 RXN66781 SHJ66781 SRF66781 TBB66781 TKX66781 TUT66781 UEP66781 UOL66781 UYH66781 VID66781 VRZ66781 WBV66781 WLR66781 WVN66781 F132317 JB132317 SX132317 ACT132317 AMP132317 AWL132317 BGH132317 BQD132317 BZZ132317 CJV132317 CTR132317 DDN132317 DNJ132317 DXF132317 EHB132317 EQX132317 FAT132317 FKP132317 FUL132317 GEH132317 GOD132317 GXZ132317 HHV132317 HRR132317 IBN132317 ILJ132317 IVF132317 JFB132317 JOX132317 JYT132317 KIP132317 KSL132317 LCH132317 LMD132317 LVZ132317 MFV132317 MPR132317 MZN132317 NJJ132317 NTF132317 ODB132317 OMX132317 OWT132317 PGP132317 PQL132317 QAH132317 QKD132317 QTZ132317 RDV132317 RNR132317 RXN132317 SHJ132317 SRF132317 TBB132317 TKX132317 TUT132317 UEP132317 UOL132317 UYH132317 VID132317 VRZ132317 WBV132317 WLR132317 WVN132317 F197853 JB197853 SX197853 ACT197853 AMP197853 AWL197853 BGH197853 BQD197853 BZZ197853 CJV197853 CTR197853 DDN197853 DNJ197853 DXF197853 EHB197853 EQX197853 FAT197853 FKP197853 FUL197853 GEH197853 GOD197853 GXZ197853 HHV197853 HRR197853 IBN197853 ILJ197853 IVF197853 JFB197853 JOX197853 JYT197853 KIP197853 KSL197853 LCH197853 LMD197853 LVZ197853 MFV197853 MPR197853 MZN197853 NJJ197853 NTF197853 ODB197853 OMX197853 OWT197853 PGP197853 PQL197853 QAH197853 QKD197853 QTZ197853 RDV197853 RNR197853 RXN197853 SHJ197853 SRF197853 TBB197853 TKX197853 TUT197853 UEP197853 UOL197853 UYH197853 VID197853 VRZ197853 WBV197853 WLR197853 WVN197853 F263389 JB263389 SX263389 ACT263389 AMP263389 AWL263389 BGH263389 BQD263389 BZZ263389 CJV263389 CTR263389 DDN263389 DNJ263389 DXF263389 EHB263389 EQX263389 FAT263389 FKP263389 FUL263389 GEH263389 GOD263389 GXZ263389 HHV263389 HRR263389 IBN263389 ILJ263389 IVF263389 JFB263389 JOX263389 JYT263389 KIP263389 KSL263389 LCH263389 LMD263389 LVZ263389 MFV263389 MPR263389 MZN263389 NJJ263389 NTF263389 ODB263389 OMX263389 OWT263389 PGP263389 PQL263389 QAH263389 QKD263389 QTZ263389 RDV263389 RNR263389 RXN263389 SHJ263389 SRF263389 TBB263389 TKX263389 TUT263389 UEP263389 UOL263389 UYH263389 VID263389 VRZ263389 WBV263389 WLR263389 WVN263389 F328925 JB328925 SX328925 ACT328925 AMP328925 AWL328925 BGH328925 BQD328925 BZZ328925 CJV328925 CTR328925 DDN328925 DNJ328925 DXF328925 EHB328925 EQX328925 FAT328925 FKP328925 FUL328925 GEH328925 GOD328925 GXZ328925 HHV328925 HRR328925 IBN328925 ILJ328925 IVF328925 JFB328925 JOX328925 JYT328925 KIP328925 KSL328925 LCH328925 LMD328925 LVZ328925 MFV328925 MPR328925 MZN328925 NJJ328925 NTF328925 ODB328925 OMX328925 OWT328925 PGP328925 PQL328925 QAH328925 QKD328925 QTZ328925 RDV328925 RNR328925 RXN328925 SHJ328925 SRF328925 TBB328925 TKX328925 TUT328925 UEP328925 UOL328925 UYH328925 VID328925 VRZ328925 WBV328925 WLR328925 WVN328925 F394461 JB394461 SX394461 ACT394461 AMP394461 AWL394461 BGH394461 BQD394461 BZZ394461 CJV394461 CTR394461 DDN394461 DNJ394461 DXF394461 EHB394461 EQX394461 FAT394461 FKP394461 FUL394461 GEH394461 GOD394461 GXZ394461 HHV394461 HRR394461 IBN394461 ILJ394461 IVF394461 JFB394461 JOX394461 JYT394461 KIP394461 KSL394461 LCH394461 LMD394461 LVZ394461 MFV394461 MPR394461 MZN394461 NJJ394461 NTF394461 ODB394461 OMX394461 OWT394461 PGP394461 PQL394461 QAH394461 QKD394461 QTZ394461 RDV394461 RNR394461 RXN394461 SHJ394461 SRF394461 TBB394461 TKX394461 TUT394461 UEP394461 UOL394461 UYH394461 VID394461 VRZ394461 WBV394461 WLR394461 WVN394461 F459997 JB459997 SX459997 ACT459997 AMP459997 AWL459997 BGH459997 BQD459997 BZZ459997 CJV459997 CTR459997 DDN459997 DNJ459997 DXF459997 EHB459997 EQX459997 FAT459997 FKP459997 FUL459997 GEH459997 GOD459997 GXZ459997 HHV459997 HRR459997 IBN459997 ILJ459997 IVF459997 JFB459997 JOX459997 JYT459997 KIP459997 KSL459997 LCH459997 LMD459997 LVZ459997 MFV459997 MPR459997 MZN459997 NJJ459997 NTF459997 ODB459997 OMX459997 OWT459997 PGP459997 PQL459997 QAH459997 QKD459997 QTZ459997 RDV459997 RNR459997 RXN459997 SHJ459997 SRF459997 TBB459997 TKX459997 TUT459997 UEP459997 UOL459997 UYH459997 VID459997 VRZ459997 WBV459997 WLR459997 WVN459997 F525533 JB525533 SX525533 ACT525533 AMP525533 AWL525533 BGH525533 BQD525533 BZZ525533 CJV525533 CTR525533 DDN525533 DNJ525533 DXF525533 EHB525533 EQX525533 FAT525533 FKP525533 FUL525533 GEH525533 GOD525533 GXZ525533 HHV525533 HRR525533 IBN525533 ILJ525533 IVF525533 JFB525533 JOX525533 JYT525533 KIP525533 KSL525533 LCH525533 LMD525533 LVZ525533 MFV525533 MPR525533 MZN525533 NJJ525533 NTF525533 ODB525533 OMX525533 OWT525533 PGP525533 PQL525533 QAH525533 QKD525533 QTZ525533 RDV525533 RNR525533 RXN525533 SHJ525533 SRF525533 TBB525533 TKX525533 TUT525533 UEP525533 UOL525533 UYH525533 VID525533 VRZ525533 WBV525533 WLR525533 WVN525533 F591069 JB591069 SX591069 ACT591069 AMP591069 AWL591069 BGH591069 BQD591069 BZZ591069 CJV591069 CTR591069 DDN591069 DNJ591069 DXF591069 EHB591069 EQX591069 FAT591069 FKP591069 FUL591069 GEH591069 GOD591069 GXZ591069 HHV591069 HRR591069 IBN591069 ILJ591069 IVF591069 JFB591069 JOX591069 JYT591069 KIP591069 KSL591069 LCH591069 LMD591069 LVZ591069 MFV591069 MPR591069 MZN591069 NJJ591069 NTF591069 ODB591069 OMX591069 OWT591069 PGP591069 PQL591069 QAH591069 QKD591069 QTZ591069 RDV591069 RNR591069 RXN591069 SHJ591069 SRF591069 TBB591069 TKX591069 TUT591069 UEP591069 UOL591069 UYH591069 VID591069 VRZ591069 WBV591069 WLR591069 WVN591069 F656605 JB656605 SX656605 ACT656605 AMP656605 AWL656605 BGH656605 BQD656605 BZZ656605 CJV656605 CTR656605 DDN656605 DNJ656605 DXF656605 EHB656605 EQX656605 FAT656605 FKP656605 FUL656605 GEH656605 GOD656605 GXZ656605 HHV656605 HRR656605 IBN656605 ILJ656605 IVF656605 JFB656605 JOX656605 JYT656605 KIP656605 KSL656605 LCH656605 LMD656605 LVZ656605 MFV656605 MPR656605 MZN656605 NJJ656605 NTF656605 ODB656605 OMX656605 OWT656605 PGP656605 PQL656605 QAH656605 QKD656605 QTZ656605 RDV656605 RNR656605 RXN656605 SHJ656605 SRF656605 TBB656605 TKX656605 TUT656605 UEP656605 UOL656605 UYH656605 VID656605 VRZ656605 WBV656605 WLR656605 WVN656605 F722141 JB722141 SX722141 ACT722141 AMP722141 AWL722141 BGH722141 BQD722141 BZZ722141 CJV722141 CTR722141 DDN722141 DNJ722141 DXF722141 EHB722141 EQX722141 FAT722141 FKP722141 FUL722141 GEH722141 GOD722141 GXZ722141 HHV722141 HRR722141 IBN722141 ILJ722141 IVF722141 JFB722141 JOX722141 JYT722141 KIP722141 KSL722141 LCH722141 LMD722141 LVZ722141 MFV722141 MPR722141 MZN722141 NJJ722141 NTF722141 ODB722141 OMX722141 OWT722141 PGP722141 PQL722141 QAH722141 QKD722141 QTZ722141 RDV722141 RNR722141 RXN722141 SHJ722141 SRF722141 TBB722141 TKX722141 TUT722141 UEP722141 UOL722141 UYH722141 VID722141 VRZ722141 WBV722141 WLR722141 WVN722141 F787677 JB787677 SX787677 ACT787677 AMP787677 AWL787677 BGH787677 BQD787677 BZZ787677 CJV787677 CTR787677 DDN787677 DNJ787677 DXF787677 EHB787677 EQX787677 FAT787677 FKP787677 FUL787677 GEH787677 GOD787677 GXZ787677 HHV787677 HRR787677 IBN787677 ILJ787677 IVF787677 JFB787677 JOX787677 JYT787677 KIP787677 KSL787677 LCH787677 LMD787677 LVZ787677 MFV787677 MPR787677 MZN787677 NJJ787677 NTF787677 ODB787677 OMX787677 OWT787677 PGP787677 PQL787677 QAH787677 QKD787677 QTZ787677 RDV787677 RNR787677 RXN787677 SHJ787677 SRF787677 TBB787677 TKX787677 TUT787677 UEP787677 UOL787677 UYH787677 VID787677 VRZ787677 WBV787677 WLR787677 WVN787677 F853213 JB853213 SX853213 ACT853213 AMP853213 AWL853213 BGH853213 BQD853213 BZZ853213 CJV853213 CTR853213 DDN853213 DNJ853213 DXF853213 EHB853213 EQX853213 FAT853213 FKP853213 FUL853213 GEH853213 GOD853213 GXZ853213 HHV853213 HRR853213 IBN853213 ILJ853213 IVF853213 JFB853213 JOX853213 JYT853213 KIP853213 KSL853213 LCH853213 LMD853213 LVZ853213 MFV853213 MPR853213 MZN853213 NJJ853213 NTF853213 ODB853213 OMX853213 OWT853213 PGP853213 PQL853213 QAH853213 QKD853213 QTZ853213 RDV853213 RNR853213 RXN853213 SHJ853213 SRF853213 TBB853213 TKX853213 TUT853213 UEP853213 UOL853213 UYH853213 VID853213 VRZ853213 WBV853213 WLR853213 WVN853213 F918749 JB918749 SX918749 ACT918749 AMP918749 AWL918749 BGH918749 BQD918749 BZZ918749 CJV918749 CTR918749 DDN918749 DNJ918749 DXF918749 EHB918749 EQX918749 FAT918749 FKP918749 FUL918749 GEH918749 GOD918749 GXZ918749 HHV918749 HRR918749 IBN918749 ILJ918749 IVF918749 JFB918749 JOX918749 JYT918749 KIP918749 KSL918749 LCH918749 LMD918749 LVZ918749 MFV918749 MPR918749 MZN918749 NJJ918749 NTF918749 ODB918749 OMX918749 OWT918749 PGP918749 PQL918749 QAH918749 QKD918749 QTZ918749 RDV918749 RNR918749 RXN918749 SHJ918749 SRF918749 TBB918749 TKX918749 TUT918749 UEP918749 UOL918749 UYH918749 VID918749 VRZ918749 WBV918749 WLR918749 WVN918749 F984285 JB984285 SX984285 ACT984285 AMP984285 AWL984285 BGH984285 BQD984285 BZZ984285 CJV984285 CTR984285 DDN984285 DNJ984285 DXF984285 EHB984285 EQX984285 FAT984285 FKP984285 FUL984285 GEH984285 GOD984285 GXZ984285 HHV984285 HRR984285 IBN984285 ILJ984285 IVF984285 JFB984285 JOX984285 JYT984285 KIP984285 KSL984285 LCH984285 LMD984285 LVZ984285 MFV984285 MPR984285 MZN984285 NJJ984285 NTF984285 ODB984285 OMX984285 OWT984285 PGP984285 PQL984285 QAH984285 QKD984285 QTZ984285 RDV984285 RNR984285 RXN984285 SHJ984285 SRF984285 TBB984285 TKX984285 TUT984285 UEP984285 UOL984285 UYH984285 VID984285 VRZ984285 WBV984285 WLR984285 WVN984285 F1065 JB1065 SX1065 ACT1065 AMP1065 AWL1065 BGH1065 BQD1065 BZZ1065 CJV1065 CTR1065 DDN1065 DNJ1065 DXF1065 EHB1065 EQX1065 FAT1065 FKP1065 FUL1065 GEH1065 GOD1065 GXZ1065 HHV1065 HRR1065 IBN1065 ILJ1065 IVF1065 JFB1065 JOX1065 JYT1065 KIP1065 KSL1065 LCH1065 LMD1065 LVZ1065 MFV1065 MPR1065 MZN1065 NJJ1065 NTF1065 ODB1065 OMX1065 OWT1065 PGP1065 PQL1065 QAH1065 QKD1065 QTZ1065 RDV1065 RNR1065 RXN1065 SHJ1065 SRF1065 TBB1065 TKX1065 TUT1065 UEP1065 UOL1065 UYH1065 VID1065 VRZ1065 WBV1065 WLR1065 WVN1065 F66788 JB66788 SX66788 ACT66788 AMP66788 AWL66788 BGH66788 BQD66788 BZZ66788 CJV66788 CTR66788 DDN66788 DNJ66788 DXF66788 EHB66788 EQX66788 FAT66788 FKP66788 FUL66788 GEH66788 GOD66788 GXZ66788 HHV66788 HRR66788 IBN66788 ILJ66788 IVF66788 JFB66788 JOX66788 JYT66788 KIP66788 KSL66788 LCH66788 LMD66788 LVZ66788 MFV66788 MPR66788 MZN66788 NJJ66788 NTF66788 ODB66788 OMX66788 OWT66788 PGP66788 PQL66788 QAH66788 QKD66788 QTZ66788 RDV66788 RNR66788 RXN66788 SHJ66788 SRF66788 TBB66788 TKX66788 TUT66788 UEP66788 UOL66788 UYH66788 VID66788 VRZ66788 WBV66788 WLR66788 WVN66788 F132324 JB132324 SX132324 ACT132324 AMP132324 AWL132324 BGH132324 BQD132324 BZZ132324 CJV132324 CTR132324 DDN132324 DNJ132324 DXF132324 EHB132324 EQX132324 FAT132324 FKP132324 FUL132324 GEH132324 GOD132324 GXZ132324 HHV132324 HRR132324 IBN132324 ILJ132324 IVF132324 JFB132324 JOX132324 JYT132324 KIP132324 KSL132324 LCH132324 LMD132324 LVZ132324 MFV132324 MPR132324 MZN132324 NJJ132324 NTF132324 ODB132324 OMX132324 OWT132324 PGP132324 PQL132324 QAH132324 QKD132324 QTZ132324 RDV132324 RNR132324 RXN132324 SHJ132324 SRF132324 TBB132324 TKX132324 TUT132324 UEP132324 UOL132324 UYH132324 VID132324 VRZ132324 WBV132324 WLR132324 WVN132324 F197860 JB197860 SX197860 ACT197860 AMP197860 AWL197860 BGH197860 BQD197860 BZZ197860 CJV197860 CTR197860 DDN197860 DNJ197860 DXF197860 EHB197860 EQX197860 FAT197860 FKP197860 FUL197860 GEH197860 GOD197860 GXZ197860 HHV197860 HRR197860 IBN197860 ILJ197860 IVF197860 JFB197860 JOX197860 JYT197860 KIP197860 KSL197860 LCH197860 LMD197860 LVZ197860 MFV197860 MPR197860 MZN197860 NJJ197860 NTF197860 ODB197860 OMX197860 OWT197860 PGP197860 PQL197860 QAH197860 QKD197860 QTZ197860 RDV197860 RNR197860 RXN197860 SHJ197860 SRF197860 TBB197860 TKX197860 TUT197860 UEP197860 UOL197860 UYH197860 VID197860 VRZ197860 WBV197860 WLR197860 WVN197860 F263396 JB263396 SX263396 ACT263396 AMP263396 AWL263396 BGH263396 BQD263396 BZZ263396 CJV263396 CTR263396 DDN263396 DNJ263396 DXF263396 EHB263396 EQX263396 FAT263396 FKP263396 FUL263396 GEH263396 GOD263396 GXZ263396 HHV263396 HRR263396 IBN263396 ILJ263396 IVF263396 JFB263396 JOX263396 JYT263396 KIP263396 KSL263396 LCH263396 LMD263396 LVZ263396 MFV263396 MPR263396 MZN263396 NJJ263396 NTF263396 ODB263396 OMX263396 OWT263396 PGP263396 PQL263396 QAH263396 QKD263396 QTZ263396 RDV263396 RNR263396 RXN263396 SHJ263396 SRF263396 TBB263396 TKX263396 TUT263396 UEP263396 UOL263396 UYH263396 VID263396 VRZ263396 WBV263396 WLR263396 WVN263396 F328932 JB328932 SX328932 ACT328932 AMP328932 AWL328932 BGH328932 BQD328932 BZZ328932 CJV328932 CTR328932 DDN328932 DNJ328932 DXF328932 EHB328932 EQX328932 FAT328932 FKP328932 FUL328932 GEH328932 GOD328932 GXZ328932 HHV328932 HRR328932 IBN328932 ILJ328932 IVF328932 JFB328932 JOX328932 JYT328932 KIP328932 KSL328932 LCH328932 LMD328932 LVZ328932 MFV328932 MPR328932 MZN328932 NJJ328932 NTF328932 ODB328932 OMX328932 OWT328932 PGP328932 PQL328932 QAH328932 QKD328932 QTZ328932 RDV328932 RNR328932 RXN328932 SHJ328932 SRF328932 TBB328932 TKX328932 TUT328932 UEP328932 UOL328932 UYH328932 VID328932 VRZ328932 WBV328932 WLR328932 WVN328932 F394468 JB394468 SX394468 ACT394468 AMP394468 AWL394468 BGH394468 BQD394468 BZZ394468 CJV394468 CTR394468 DDN394468 DNJ394468 DXF394468 EHB394468 EQX394468 FAT394468 FKP394468 FUL394468 GEH394468 GOD394468 GXZ394468 HHV394468 HRR394468 IBN394468 ILJ394468 IVF394468 JFB394468 JOX394468 JYT394468 KIP394468 KSL394468 LCH394468 LMD394468 LVZ394468 MFV394468 MPR394468 MZN394468 NJJ394468 NTF394468 ODB394468 OMX394468 OWT394468 PGP394468 PQL394468 QAH394468 QKD394468 QTZ394468 RDV394468 RNR394468 RXN394468 SHJ394468 SRF394468 TBB394468 TKX394468 TUT394468 UEP394468 UOL394468 UYH394468 VID394468 VRZ394468 WBV394468 WLR394468 WVN394468 F460004 JB460004 SX460004 ACT460004 AMP460004 AWL460004 BGH460004 BQD460004 BZZ460004 CJV460004 CTR460004 DDN460004 DNJ460004 DXF460004 EHB460004 EQX460004 FAT460004 FKP460004 FUL460004 GEH460004 GOD460004 GXZ460004 HHV460004 HRR460004 IBN460004 ILJ460004 IVF460004 JFB460004 JOX460004 JYT460004 KIP460004 KSL460004 LCH460004 LMD460004 LVZ460004 MFV460004 MPR460004 MZN460004 NJJ460004 NTF460004 ODB460004 OMX460004 OWT460004 PGP460004 PQL460004 QAH460004 QKD460004 QTZ460004 RDV460004 RNR460004 RXN460004 SHJ460004 SRF460004 TBB460004 TKX460004 TUT460004 UEP460004 UOL460004 UYH460004 VID460004 VRZ460004 WBV460004 WLR460004 WVN460004 F525540 JB525540 SX525540 ACT525540 AMP525540 AWL525540 BGH525540 BQD525540 BZZ525540 CJV525540 CTR525540 DDN525540 DNJ525540 DXF525540 EHB525540 EQX525540 FAT525540 FKP525540 FUL525540 GEH525540 GOD525540 GXZ525540 HHV525540 HRR525540 IBN525540 ILJ525540 IVF525540 JFB525540 JOX525540 JYT525540 KIP525540 KSL525540 LCH525540 LMD525540 LVZ525540 MFV525540 MPR525540 MZN525540 NJJ525540 NTF525540 ODB525540 OMX525540 OWT525540 PGP525540 PQL525540 QAH525540 QKD525540 QTZ525540 RDV525540 RNR525540 RXN525540 SHJ525540 SRF525540 TBB525540 TKX525540 TUT525540 UEP525540 UOL525540 UYH525540 VID525540 VRZ525540 WBV525540 WLR525540 WVN525540 F591076 JB591076 SX591076 ACT591076 AMP591076 AWL591076 BGH591076 BQD591076 BZZ591076 CJV591076 CTR591076 DDN591076 DNJ591076 DXF591076 EHB591076 EQX591076 FAT591076 FKP591076 FUL591076 GEH591076 GOD591076 GXZ591076 HHV591076 HRR591076 IBN591076 ILJ591076 IVF591076 JFB591076 JOX591076 JYT591076 KIP591076 KSL591076 LCH591076 LMD591076 LVZ591076 MFV591076 MPR591076 MZN591076 NJJ591076 NTF591076 ODB591076 OMX591076 OWT591076 PGP591076 PQL591076 QAH591076 QKD591076 QTZ591076 RDV591076 RNR591076 RXN591076 SHJ591076 SRF591076 TBB591076 TKX591076 TUT591076 UEP591076 UOL591076 UYH591076 VID591076 VRZ591076 WBV591076 WLR591076 WVN591076 F656612 JB656612 SX656612 ACT656612 AMP656612 AWL656612 BGH656612 BQD656612 BZZ656612 CJV656612 CTR656612 DDN656612 DNJ656612 DXF656612 EHB656612 EQX656612 FAT656612 FKP656612 FUL656612 GEH656612 GOD656612 GXZ656612 HHV656612 HRR656612 IBN656612 ILJ656612 IVF656612 JFB656612 JOX656612 JYT656612 KIP656612 KSL656612 LCH656612 LMD656612 LVZ656612 MFV656612 MPR656612 MZN656612 NJJ656612 NTF656612 ODB656612 OMX656612 OWT656612 PGP656612 PQL656612 QAH656612 QKD656612 QTZ656612 RDV656612 RNR656612 RXN656612 SHJ656612 SRF656612 TBB656612 TKX656612 TUT656612 UEP656612 UOL656612 UYH656612 VID656612 VRZ656612 WBV656612 WLR656612 WVN656612 F722148 JB722148 SX722148 ACT722148 AMP722148 AWL722148 BGH722148 BQD722148 BZZ722148 CJV722148 CTR722148 DDN722148 DNJ722148 DXF722148 EHB722148 EQX722148 FAT722148 FKP722148 FUL722148 GEH722148 GOD722148 GXZ722148 HHV722148 HRR722148 IBN722148 ILJ722148 IVF722148 JFB722148 JOX722148 JYT722148 KIP722148 KSL722148 LCH722148 LMD722148 LVZ722148 MFV722148 MPR722148 MZN722148 NJJ722148 NTF722148 ODB722148 OMX722148 OWT722148 PGP722148 PQL722148 QAH722148 QKD722148 QTZ722148 RDV722148 RNR722148 RXN722148 SHJ722148 SRF722148 TBB722148 TKX722148 TUT722148 UEP722148 UOL722148 UYH722148 VID722148 VRZ722148 WBV722148 WLR722148 WVN722148 F787684 JB787684 SX787684 ACT787684 AMP787684 AWL787684 BGH787684 BQD787684 BZZ787684 CJV787684 CTR787684 DDN787684 DNJ787684 DXF787684 EHB787684 EQX787684 FAT787684 FKP787684 FUL787684 GEH787684 GOD787684 GXZ787684 HHV787684 HRR787684 IBN787684 ILJ787684 IVF787684 JFB787684 JOX787684 JYT787684 KIP787684 KSL787684 LCH787684 LMD787684 LVZ787684 MFV787684 MPR787684 MZN787684 NJJ787684 NTF787684 ODB787684 OMX787684 OWT787684 PGP787684 PQL787684 QAH787684 QKD787684 QTZ787684 RDV787684 RNR787684 RXN787684 SHJ787684 SRF787684 TBB787684 TKX787684 TUT787684 UEP787684 UOL787684 UYH787684 VID787684 VRZ787684 WBV787684 WLR787684 WVN787684 F853220 JB853220 SX853220 ACT853220 AMP853220 AWL853220 BGH853220 BQD853220 BZZ853220 CJV853220 CTR853220 DDN853220 DNJ853220 DXF853220 EHB853220 EQX853220 FAT853220 FKP853220 FUL853220 GEH853220 GOD853220 GXZ853220 HHV853220 HRR853220 IBN853220 ILJ853220 IVF853220 JFB853220 JOX853220 JYT853220 KIP853220 KSL853220 LCH853220 LMD853220 LVZ853220 MFV853220 MPR853220 MZN853220 NJJ853220 NTF853220 ODB853220 OMX853220 OWT853220 PGP853220 PQL853220 QAH853220 QKD853220 QTZ853220 RDV853220 RNR853220 RXN853220 SHJ853220 SRF853220 TBB853220 TKX853220 TUT853220 UEP853220 UOL853220 UYH853220 VID853220 VRZ853220 WBV853220 WLR853220 WVN853220 F918756 JB918756 SX918756 ACT918756 AMP918756 AWL918756 BGH918756 BQD918756 BZZ918756 CJV918756 CTR918756 DDN918756 DNJ918756 DXF918756 EHB918756 EQX918756 FAT918756 FKP918756 FUL918756 GEH918756 GOD918756 GXZ918756 HHV918756 HRR918756 IBN918756 ILJ918756 IVF918756 JFB918756 JOX918756 JYT918756 KIP918756 KSL918756 LCH918756 LMD918756 LVZ918756 MFV918756 MPR918756 MZN918756 NJJ918756 NTF918756 ODB918756 OMX918756 OWT918756 PGP918756 PQL918756 QAH918756 QKD918756 QTZ918756 RDV918756 RNR918756 RXN918756 SHJ918756 SRF918756 TBB918756 TKX918756 TUT918756 UEP918756 UOL918756 UYH918756 VID918756 VRZ918756 WBV918756 WLR918756 WVN918756 F984292 JB984292 SX984292 ACT984292 AMP984292 AWL984292 BGH984292 BQD984292 BZZ984292 CJV984292 CTR984292 DDN984292 DNJ984292 DXF984292 EHB984292 EQX984292 FAT984292 FKP984292 FUL984292 GEH984292 GOD984292 GXZ984292 HHV984292 HRR984292 IBN984292 ILJ984292 IVF984292 JFB984292 JOX984292 JYT984292 KIP984292 KSL984292 LCH984292 LMD984292 LVZ984292 MFV984292 MPR984292 MZN984292 NJJ984292 NTF984292 ODB984292 OMX984292 OWT984292 PGP984292 PQL984292 QAH984292 QKD984292 QTZ984292 RDV984292 RNR984292 RXN984292 SHJ984292 SRF984292 TBB984292 TKX984292 TUT984292 UEP984292 UOL984292 UYH984292 VID984292 VRZ984292 WBV984292 WLR984292 WVN984292 F1074 JB1074 SX1074 ACT1074 AMP1074 AWL1074 BGH1074 BQD1074 BZZ1074 CJV1074 CTR1074 DDN1074 DNJ1074 DXF1074 EHB1074 EQX1074 FAT1074 FKP1074 FUL1074 GEH1074 GOD1074 GXZ1074 HHV1074 HRR1074 IBN1074 ILJ1074 IVF1074 JFB1074 JOX1074 JYT1074 KIP1074 KSL1074 LCH1074 LMD1074 LVZ1074 MFV1074 MPR1074 MZN1074 NJJ1074 NTF1074 ODB1074 OMX1074 OWT1074 PGP1074 PQL1074 QAH1074 QKD1074 QTZ1074 RDV1074 RNR1074 RXN1074 SHJ1074 SRF1074 TBB1074 TKX1074 TUT1074 UEP1074 UOL1074 UYH1074 VID1074 VRZ1074 WBV1074 WLR1074 WVN1074 F66797 JB66797 SX66797 ACT66797 AMP66797 AWL66797 BGH66797 BQD66797 BZZ66797 CJV66797 CTR66797 DDN66797 DNJ66797 DXF66797 EHB66797 EQX66797 FAT66797 FKP66797 FUL66797 GEH66797 GOD66797 GXZ66797 HHV66797 HRR66797 IBN66797 ILJ66797 IVF66797 JFB66797 JOX66797 JYT66797 KIP66797 KSL66797 LCH66797 LMD66797 LVZ66797 MFV66797 MPR66797 MZN66797 NJJ66797 NTF66797 ODB66797 OMX66797 OWT66797 PGP66797 PQL66797 QAH66797 QKD66797 QTZ66797 RDV66797 RNR66797 RXN66797 SHJ66797 SRF66797 TBB66797 TKX66797 TUT66797 UEP66797 UOL66797 UYH66797 VID66797 VRZ66797 WBV66797 WLR66797 WVN66797 F132333 JB132333 SX132333 ACT132333 AMP132333 AWL132333 BGH132333 BQD132333 BZZ132333 CJV132333 CTR132333 DDN132333 DNJ132333 DXF132333 EHB132333 EQX132333 FAT132333 FKP132333 FUL132333 GEH132333 GOD132333 GXZ132333 HHV132333 HRR132333 IBN132333 ILJ132333 IVF132333 JFB132333 JOX132333 JYT132333 KIP132333 KSL132333 LCH132333 LMD132333 LVZ132333 MFV132333 MPR132333 MZN132333 NJJ132333 NTF132333 ODB132333 OMX132333 OWT132333 PGP132333 PQL132333 QAH132333 QKD132333 QTZ132333 RDV132333 RNR132333 RXN132333 SHJ132333 SRF132333 TBB132333 TKX132333 TUT132333 UEP132333 UOL132333 UYH132333 VID132333 VRZ132333 WBV132333 WLR132333 WVN132333 F197869 JB197869 SX197869 ACT197869 AMP197869 AWL197869 BGH197869 BQD197869 BZZ197869 CJV197869 CTR197869 DDN197869 DNJ197869 DXF197869 EHB197869 EQX197869 FAT197869 FKP197869 FUL197869 GEH197869 GOD197869 GXZ197869 HHV197869 HRR197869 IBN197869 ILJ197869 IVF197869 JFB197869 JOX197869 JYT197869 KIP197869 KSL197869 LCH197869 LMD197869 LVZ197869 MFV197869 MPR197869 MZN197869 NJJ197869 NTF197869 ODB197869 OMX197869 OWT197869 PGP197869 PQL197869 QAH197869 QKD197869 QTZ197869 RDV197869 RNR197869 RXN197869 SHJ197869 SRF197869 TBB197869 TKX197869 TUT197869 UEP197869 UOL197869 UYH197869 VID197869 VRZ197869 WBV197869 WLR197869 WVN197869 F263405 JB263405 SX263405 ACT263405 AMP263405 AWL263405 BGH263405 BQD263405 BZZ263405 CJV263405 CTR263405 DDN263405 DNJ263405 DXF263405 EHB263405 EQX263405 FAT263405 FKP263405 FUL263405 GEH263405 GOD263405 GXZ263405 HHV263405 HRR263405 IBN263405 ILJ263405 IVF263405 JFB263405 JOX263405 JYT263405 KIP263405 KSL263405 LCH263405 LMD263405 LVZ263405 MFV263405 MPR263405 MZN263405 NJJ263405 NTF263405 ODB263405 OMX263405 OWT263405 PGP263405 PQL263405 QAH263405 QKD263405 QTZ263405 RDV263405 RNR263405 RXN263405 SHJ263405 SRF263405 TBB263405 TKX263405 TUT263405 UEP263405 UOL263405 UYH263405 VID263405 VRZ263405 WBV263405 WLR263405 WVN263405 F328941 JB328941 SX328941 ACT328941 AMP328941 AWL328941 BGH328941 BQD328941 BZZ328941 CJV328941 CTR328941 DDN328941 DNJ328941 DXF328941 EHB328941 EQX328941 FAT328941 FKP328941 FUL328941 GEH328941 GOD328941 GXZ328941 HHV328941 HRR328941 IBN328941 ILJ328941 IVF328941 JFB328941 JOX328941 JYT328941 KIP328941 KSL328941 LCH328941 LMD328941 LVZ328941 MFV328941 MPR328941 MZN328941 NJJ328941 NTF328941 ODB328941 OMX328941 OWT328941 PGP328941 PQL328941 QAH328941 QKD328941 QTZ328941 RDV328941 RNR328941 RXN328941 SHJ328941 SRF328941 TBB328941 TKX328941 TUT328941 UEP328941 UOL328941 UYH328941 VID328941 VRZ328941 WBV328941 WLR328941 WVN328941 F394477 JB394477 SX394477 ACT394477 AMP394477 AWL394477 BGH394477 BQD394477 BZZ394477 CJV394477 CTR394477 DDN394477 DNJ394477 DXF394477 EHB394477 EQX394477 FAT394477 FKP394477 FUL394477 GEH394477 GOD394477 GXZ394477 HHV394477 HRR394477 IBN394477 ILJ394477 IVF394477 JFB394477 JOX394477 JYT394477 KIP394477 KSL394477 LCH394477 LMD394477 LVZ394477 MFV394477 MPR394477 MZN394477 NJJ394477 NTF394477 ODB394477 OMX394477 OWT394477 PGP394477 PQL394477 QAH394477 QKD394477 QTZ394477 RDV394477 RNR394477 RXN394477 SHJ394477 SRF394477 TBB394477 TKX394477 TUT394477 UEP394477 UOL394477 UYH394477 VID394477 VRZ394477 WBV394477 WLR394477 WVN394477 F460013 JB460013 SX460013 ACT460013 AMP460013 AWL460013 BGH460013 BQD460013 BZZ460013 CJV460013 CTR460013 DDN460013 DNJ460013 DXF460013 EHB460013 EQX460013 FAT460013 FKP460013 FUL460013 GEH460013 GOD460013 GXZ460013 HHV460013 HRR460013 IBN460013 ILJ460013 IVF460013 JFB460013 JOX460013 JYT460013 KIP460013 KSL460013 LCH460013 LMD460013 LVZ460013 MFV460013 MPR460013 MZN460013 NJJ460013 NTF460013 ODB460013 OMX460013 OWT460013 PGP460013 PQL460013 QAH460013 QKD460013 QTZ460013 RDV460013 RNR460013 RXN460013 SHJ460013 SRF460013 TBB460013 TKX460013 TUT460013 UEP460013 UOL460013 UYH460013 VID460013 VRZ460013 WBV460013 WLR460013 WVN460013 F525549 JB525549 SX525549 ACT525549 AMP525549 AWL525549 BGH525549 BQD525549 BZZ525549 CJV525549 CTR525549 DDN525549 DNJ525549 DXF525549 EHB525549 EQX525549 FAT525549 FKP525549 FUL525549 GEH525549 GOD525549 GXZ525549 HHV525549 HRR525549 IBN525549 ILJ525549 IVF525549 JFB525549 JOX525549 JYT525549 KIP525549 KSL525549 LCH525549 LMD525549 LVZ525549 MFV525549 MPR525549 MZN525549 NJJ525549 NTF525549 ODB525549 OMX525549 OWT525549 PGP525549 PQL525549 QAH525549 QKD525549 QTZ525549 RDV525549 RNR525549 RXN525549 SHJ525549 SRF525549 TBB525549 TKX525549 TUT525549 UEP525549 UOL525549 UYH525549 VID525549 VRZ525549 WBV525549 WLR525549 WVN525549 F591085 JB591085 SX591085 ACT591085 AMP591085 AWL591085 BGH591085 BQD591085 BZZ591085 CJV591085 CTR591085 DDN591085 DNJ591085 DXF591085 EHB591085 EQX591085 FAT591085 FKP591085 FUL591085 GEH591085 GOD591085 GXZ591085 HHV591085 HRR591085 IBN591085 ILJ591085 IVF591085 JFB591085 JOX591085 JYT591085 KIP591085 KSL591085 LCH591085 LMD591085 LVZ591085 MFV591085 MPR591085 MZN591085 NJJ591085 NTF591085 ODB591085 OMX591085 OWT591085 PGP591085 PQL591085 QAH591085 QKD591085 QTZ591085 RDV591085 RNR591085 RXN591085 SHJ591085 SRF591085 TBB591085 TKX591085 TUT591085 UEP591085 UOL591085 UYH591085 VID591085 VRZ591085 WBV591085 WLR591085 WVN591085 F656621 JB656621 SX656621 ACT656621 AMP656621 AWL656621 BGH656621 BQD656621 BZZ656621 CJV656621 CTR656621 DDN656621 DNJ656621 DXF656621 EHB656621 EQX656621 FAT656621 FKP656621 FUL656621 GEH656621 GOD656621 GXZ656621 HHV656621 HRR656621 IBN656621 ILJ656621 IVF656621 JFB656621 JOX656621 JYT656621 KIP656621 KSL656621 LCH656621 LMD656621 LVZ656621 MFV656621 MPR656621 MZN656621 NJJ656621 NTF656621 ODB656621 OMX656621 OWT656621 PGP656621 PQL656621 QAH656621 QKD656621 QTZ656621 RDV656621 RNR656621 RXN656621 SHJ656621 SRF656621 TBB656621 TKX656621 TUT656621 UEP656621 UOL656621 UYH656621 VID656621 VRZ656621 WBV656621 WLR656621 WVN656621 F722157 JB722157 SX722157 ACT722157 AMP722157 AWL722157 BGH722157 BQD722157 BZZ722157 CJV722157 CTR722157 DDN722157 DNJ722157 DXF722157 EHB722157 EQX722157 FAT722157 FKP722157 FUL722157 GEH722157 GOD722157 GXZ722157 HHV722157 HRR722157 IBN722157 ILJ722157 IVF722157 JFB722157 JOX722157 JYT722157 KIP722157 KSL722157 LCH722157 LMD722157 LVZ722157 MFV722157 MPR722157 MZN722157 NJJ722157 NTF722157 ODB722157 OMX722157 OWT722157 PGP722157 PQL722157 QAH722157 QKD722157 QTZ722157 RDV722157 RNR722157 RXN722157 SHJ722157 SRF722157 TBB722157 TKX722157 TUT722157 UEP722157 UOL722157 UYH722157 VID722157 VRZ722157 WBV722157 WLR722157 WVN722157 F787693 JB787693 SX787693 ACT787693 AMP787693 AWL787693 BGH787693 BQD787693 BZZ787693 CJV787693 CTR787693 DDN787693 DNJ787693 DXF787693 EHB787693 EQX787693 FAT787693 FKP787693 FUL787693 GEH787693 GOD787693 GXZ787693 HHV787693 HRR787693 IBN787693 ILJ787693 IVF787693 JFB787693 JOX787693 JYT787693 KIP787693 KSL787693 LCH787693 LMD787693 LVZ787693 MFV787693 MPR787693 MZN787693 NJJ787693 NTF787693 ODB787693 OMX787693 OWT787693 PGP787693 PQL787693 QAH787693 QKD787693 QTZ787693 RDV787693 RNR787693 RXN787693 SHJ787693 SRF787693 TBB787693 TKX787693 TUT787693 UEP787693 UOL787693 UYH787693 VID787693 VRZ787693 WBV787693 WLR787693 WVN787693 F853229 JB853229 SX853229 ACT853229 AMP853229 AWL853229 BGH853229 BQD853229 BZZ853229 CJV853229 CTR853229 DDN853229 DNJ853229 DXF853229 EHB853229 EQX853229 FAT853229 FKP853229 FUL853229 GEH853229 GOD853229 GXZ853229 HHV853229 HRR853229 IBN853229 ILJ853229 IVF853229 JFB853229 JOX853229 JYT853229 KIP853229 KSL853229 LCH853229 LMD853229 LVZ853229 MFV853229 MPR853229 MZN853229 NJJ853229 NTF853229 ODB853229 OMX853229 OWT853229 PGP853229 PQL853229 QAH853229 QKD853229 QTZ853229 RDV853229 RNR853229 RXN853229 SHJ853229 SRF853229 TBB853229 TKX853229 TUT853229 UEP853229 UOL853229 UYH853229 VID853229 VRZ853229 WBV853229 WLR853229 WVN853229 F918765 JB918765 SX918765 ACT918765 AMP918765 AWL918765 BGH918765 BQD918765 BZZ918765 CJV918765 CTR918765 DDN918765 DNJ918765 DXF918765 EHB918765 EQX918765 FAT918765 FKP918765 FUL918765 GEH918765 GOD918765 GXZ918765 HHV918765 HRR918765 IBN918765 ILJ918765 IVF918765 JFB918765 JOX918765 JYT918765 KIP918765 KSL918765 LCH918765 LMD918765 LVZ918765 MFV918765 MPR918765 MZN918765 NJJ918765 NTF918765 ODB918765 OMX918765 OWT918765 PGP918765 PQL918765 QAH918765 QKD918765 QTZ918765 RDV918765 RNR918765 RXN918765 SHJ918765 SRF918765 TBB918765 TKX918765 TUT918765 UEP918765 UOL918765 UYH918765 VID918765 VRZ918765 WBV918765 WLR918765 WVN918765 F984301 JB984301 SX984301 ACT984301 AMP984301 AWL984301 BGH984301 BQD984301 BZZ984301 CJV984301 CTR984301 DDN984301 DNJ984301 DXF984301 EHB984301 EQX984301 FAT984301 FKP984301 FUL984301 GEH984301 GOD984301 GXZ984301 HHV984301 HRR984301 IBN984301 ILJ984301 IVF984301 JFB984301 JOX984301 JYT984301 KIP984301 KSL984301 LCH984301 LMD984301 LVZ984301 MFV984301 MPR984301 MZN984301 NJJ984301 NTF984301 ODB984301 OMX984301 OWT984301 PGP984301 PQL984301 QAH984301 QKD984301 QTZ984301 RDV984301 RNR984301 RXN984301 SHJ984301 SRF984301 TBB984301 TKX984301 TUT984301 UEP984301 UOL984301 UYH984301 VID984301 VRZ984301 WBV984301 WLR984301 WVN984301 F1091 JB1091 SX1091 ACT1091 AMP1091 AWL1091 BGH1091 BQD1091 BZZ1091 CJV1091 CTR1091 DDN1091 DNJ1091 DXF1091 EHB1091 EQX1091 FAT1091 FKP1091 FUL1091 GEH1091 GOD1091 GXZ1091 HHV1091 HRR1091 IBN1091 ILJ1091 IVF1091 JFB1091 JOX1091 JYT1091 KIP1091 KSL1091 LCH1091 LMD1091 LVZ1091 MFV1091 MPR1091 MZN1091 NJJ1091 NTF1091 ODB1091 OMX1091 OWT1091 PGP1091 PQL1091 QAH1091 QKD1091 QTZ1091 RDV1091 RNR1091 RXN1091 SHJ1091 SRF1091 TBB1091 TKX1091 TUT1091 UEP1091 UOL1091 UYH1091 VID1091 VRZ1091 WBV1091 WLR1091 WVN1091 F66806 JB66806 SX66806 ACT66806 AMP66806 AWL66806 BGH66806 BQD66806 BZZ66806 CJV66806 CTR66806 DDN66806 DNJ66806 DXF66806 EHB66806 EQX66806 FAT66806 FKP66806 FUL66806 GEH66806 GOD66806 GXZ66806 HHV66806 HRR66806 IBN66806 ILJ66806 IVF66806 JFB66806 JOX66806 JYT66806 KIP66806 KSL66806 LCH66806 LMD66806 LVZ66806 MFV66806 MPR66806 MZN66806 NJJ66806 NTF66806 ODB66806 OMX66806 OWT66806 PGP66806 PQL66806 QAH66806 QKD66806 QTZ66806 RDV66806 RNR66806 RXN66806 SHJ66806 SRF66806 TBB66806 TKX66806 TUT66806 UEP66806 UOL66806 UYH66806 VID66806 VRZ66806 WBV66806 WLR66806 WVN66806 F132342 JB132342 SX132342 ACT132342 AMP132342 AWL132342 BGH132342 BQD132342 BZZ132342 CJV132342 CTR132342 DDN132342 DNJ132342 DXF132342 EHB132342 EQX132342 FAT132342 FKP132342 FUL132342 GEH132342 GOD132342 GXZ132342 HHV132342 HRR132342 IBN132342 ILJ132342 IVF132342 JFB132342 JOX132342 JYT132342 KIP132342 KSL132342 LCH132342 LMD132342 LVZ132342 MFV132342 MPR132342 MZN132342 NJJ132342 NTF132342 ODB132342 OMX132342 OWT132342 PGP132342 PQL132342 QAH132342 QKD132342 QTZ132342 RDV132342 RNR132342 RXN132342 SHJ132342 SRF132342 TBB132342 TKX132342 TUT132342 UEP132342 UOL132342 UYH132342 VID132342 VRZ132342 WBV132342 WLR132342 WVN132342 F197878 JB197878 SX197878 ACT197878 AMP197878 AWL197878 BGH197878 BQD197878 BZZ197878 CJV197878 CTR197878 DDN197878 DNJ197878 DXF197878 EHB197878 EQX197878 FAT197878 FKP197878 FUL197878 GEH197878 GOD197878 GXZ197878 HHV197878 HRR197878 IBN197878 ILJ197878 IVF197878 JFB197878 JOX197878 JYT197878 KIP197878 KSL197878 LCH197878 LMD197878 LVZ197878 MFV197878 MPR197878 MZN197878 NJJ197878 NTF197878 ODB197878 OMX197878 OWT197878 PGP197878 PQL197878 QAH197878 QKD197878 QTZ197878 RDV197878 RNR197878 RXN197878 SHJ197878 SRF197878 TBB197878 TKX197878 TUT197878 UEP197878 UOL197878 UYH197878 VID197878 VRZ197878 WBV197878 WLR197878 WVN197878 F263414 JB263414 SX263414 ACT263414 AMP263414 AWL263414 BGH263414 BQD263414 BZZ263414 CJV263414 CTR263414 DDN263414 DNJ263414 DXF263414 EHB263414 EQX263414 FAT263414 FKP263414 FUL263414 GEH263414 GOD263414 GXZ263414 HHV263414 HRR263414 IBN263414 ILJ263414 IVF263414 JFB263414 JOX263414 JYT263414 KIP263414 KSL263414 LCH263414 LMD263414 LVZ263414 MFV263414 MPR263414 MZN263414 NJJ263414 NTF263414 ODB263414 OMX263414 OWT263414 PGP263414 PQL263414 QAH263414 QKD263414 QTZ263414 RDV263414 RNR263414 RXN263414 SHJ263414 SRF263414 TBB263414 TKX263414 TUT263414 UEP263414 UOL263414 UYH263414 VID263414 VRZ263414 WBV263414 WLR263414 WVN263414 F328950 JB328950 SX328950 ACT328950 AMP328950 AWL328950 BGH328950 BQD328950 BZZ328950 CJV328950 CTR328950 DDN328950 DNJ328950 DXF328950 EHB328950 EQX328950 FAT328950 FKP328950 FUL328950 GEH328950 GOD328950 GXZ328950 HHV328950 HRR328950 IBN328950 ILJ328950 IVF328950 JFB328950 JOX328950 JYT328950 KIP328950 KSL328950 LCH328950 LMD328950 LVZ328950 MFV328950 MPR328950 MZN328950 NJJ328950 NTF328950 ODB328950 OMX328950 OWT328950 PGP328950 PQL328950 QAH328950 QKD328950 QTZ328950 RDV328950 RNR328950 RXN328950 SHJ328950 SRF328950 TBB328950 TKX328950 TUT328950 UEP328950 UOL328950 UYH328950 VID328950 VRZ328950 WBV328950 WLR328950 WVN328950 F394486 JB394486 SX394486 ACT394486 AMP394486 AWL394486 BGH394486 BQD394486 BZZ394486 CJV394486 CTR394486 DDN394486 DNJ394486 DXF394486 EHB394486 EQX394486 FAT394486 FKP394486 FUL394486 GEH394486 GOD394486 GXZ394486 HHV394486 HRR394486 IBN394486 ILJ394486 IVF394486 JFB394486 JOX394486 JYT394486 KIP394486 KSL394486 LCH394486 LMD394486 LVZ394486 MFV394486 MPR394486 MZN394486 NJJ394486 NTF394486 ODB394486 OMX394486 OWT394486 PGP394486 PQL394486 QAH394486 QKD394486 QTZ394486 RDV394486 RNR394486 RXN394486 SHJ394486 SRF394486 TBB394486 TKX394486 TUT394486 UEP394486 UOL394486 UYH394486 VID394486 VRZ394486 WBV394486 WLR394486 WVN394486 F460022 JB460022 SX460022 ACT460022 AMP460022 AWL460022 BGH460022 BQD460022 BZZ460022 CJV460022 CTR460022 DDN460022 DNJ460022 DXF460022 EHB460022 EQX460022 FAT460022 FKP460022 FUL460022 GEH460022 GOD460022 GXZ460022 HHV460022 HRR460022 IBN460022 ILJ460022 IVF460022 JFB460022 JOX460022 JYT460022 KIP460022 KSL460022 LCH460022 LMD460022 LVZ460022 MFV460022 MPR460022 MZN460022 NJJ460022 NTF460022 ODB460022 OMX460022 OWT460022 PGP460022 PQL460022 QAH460022 QKD460022 QTZ460022 RDV460022 RNR460022 RXN460022 SHJ460022 SRF460022 TBB460022 TKX460022 TUT460022 UEP460022 UOL460022 UYH460022 VID460022 VRZ460022 WBV460022 WLR460022 WVN460022 F525558 JB525558 SX525558 ACT525558 AMP525558 AWL525558 BGH525558 BQD525558 BZZ525558 CJV525558 CTR525558 DDN525558 DNJ525558 DXF525558 EHB525558 EQX525558 FAT525558 FKP525558 FUL525558 GEH525558 GOD525558 GXZ525558 HHV525558 HRR525558 IBN525558 ILJ525558 IVF525558 JFB525558 JOX525558 JYT525558 KIP525558 KSL525558 LCH525558 LMD525558 LVZ525558 MFV525558 MPR525558 MZN525558 NJJ525558 NTF525558 ODB525558 OMX525558 OWT525558 PGP525558 PQL525558 QAH525558 QKD525558 QTZ525558 RDV525558 RNR525558 RXN525558 SHJ525558 SRF525558 TBB525558 TKX525558 TUT525558 UEP525558 UOL525558 UYH525558 VID525558 VRZ525558 WBV525558 WLR525558 WVN525558 F591094 JB591094 SX591094 ACT591094 AMP591094 AWL591094 BGH591094 BQD591094 BZZ591094 CJV591094 CTR591094 DDN591094 DNJ591094 DXF591094 EHB591094 EQX591094 FAT591094 FKP591094 FUL591094 GEH591094 GOD591094 GXZ591094 HHV591094 HRR591094 IBN591094 ILJ591094 IVF591094 JFB591094 JOX591094 JYT591094 KIP591094 KSL591094 LCH591094 LMD591094 LVZ591094 MFV591094 MPR591094 MZN591094 NJJ591094 NTF591094 ODB591094 OMX591094 OWT591094 PGP591094 PQL591094 QAH591094 QKD591094 QTZ591094 RDV591094 RNR591094 RXN591094 SHJ591094 SRF591094 TBB591094 TKX591094 TUT591094 UEP591094 UOL591094 UYH591094 VID591094 VRZ591094 WBV591094 WLR591094 WVN591094 F656630 JB656630 SX656630 ACT656630 AMP656630 AWL656630 BGH656630 BQD656630 BZZ656630 CJV656630 CTR656630 DDN656630 DNJ656630 DXF656630 EHB656630 EQX656630 FAT656630 FKP656630 FUL656630 GEH656630 GOD656630 GXZ656630 HHV656630 HRR656630 IBN656630 ILJ656630 IVF656630 JFB656630 JOX656630 JYT656630 KIP656630 KSL656630 LCH656630 LMD656630 LVZ656630 MFV656630 MPR656630 MZN656630 NJJ656630 NTF656630 ODB656630 OMX656630 OWT656630 PGP656630 PQL656630 QAH656630 QKD656630 QTZ656630 RDV656630 RNR656630 RXN656630 SHJ656630 SRF656630 TBB656630 TKX656630 TUT656630 UEP656630 UOL656630 UYH656630 VID656630 VRZ656630 WBV656630 WLR656630 WVN656630 F722166 JB722166 SX722166 ACT722166 AMP722166 AWL722166 BGH722166 BQD722166 BZZ722166 CJV722166 CTR722166 DDN722166 DNJ722166 DXF722166 EHB722166 EQX722166 FAT722166 FKP722166 FUL722166 GEH722166 GOD722166 GXZ722166 HHV722166 HRR722166 IBN722166 ILJ722166 IVF722166 JFB722166 JOX722166 JYT722166 KIP722166 KSL722166 LCH722166 LMD722166 LVZ722166 MFV722166 MPR722166 MZN722166 NJJ722166 NTF722166 ODB722166 OMX722166 OWT722166 PGP722166 PQL722166 QAH722166 QKD722166 QTZ722166 RDV722166 RNR722166 RXN722166 SHJ722166 SRF722166 TBB722166 TKX722166 TUT722166 UEP722166 UOL722166 UYH722166 VID722166 VRZ722166 WBV722166 WLR722166 WVN722166 F787702 JB787702 SX787702 ACT787702 AMP787702 AWL787702 BGH787702 BQD787702 BZZ787702 CJV787702 CTR787702 DDN787702 DNJ787702 DXF787702 EHB787702 EQX787702 FAT787702 FKP787702 FUL787702 GEH787702 GOD787702 GXZ787702 HHV787702 HRR787702 IBN787702 ILJ787702 IVF787702 JFB787702 JOX787702 JYT787702 KIP787702 KSL787702 LCH787702 LMD787702 LVZ787702 MFV787702 MPR787702 MZN787702 NJJ787702 NTF787702 ODB787702 OMX787702 OWT787702 PGP787702 PQL787702 QAH787702 QKD787702 QTZ787702 RDV787702 RNR787702 RXN787702 SHJ787702 SRF787702 TBB787702 TKX787702 TUT787702 UEP787702 UOL787702 UYH787702 VID787702 VRZ787702 WBV787702 WLR787702 WVN787702 F853238 JB853238 SX853238 ACT853238 AMP853238 AWL853238 BGH853238 BQD853238 BZZ853238 CJV853238 CTR853238 DDN853238 DNJ853238 DXF853238 EHB853238 EQX853238 FAT853238 FKP853238 FUL853238 GEH853238 GOD853238 GXZ853238 HHV853238 HRR853238 IBN853238 ILJ853238 IVF853238 JFB853238 JOX853238 JYT853238 KIP853238 KSL853238 LCH853238 LMD853238 LVZ853238 MFV853238 MPR853238 MZN853238 NJJ853238 NTF853238 ODB853238 OMX853238 OWT853238 PGP853238 PQL853238 QAH853238 QKD853238 QTZ853238 RDV853238 RNR853238 RXN853238 SHJ853238 SRF853238 TBB853238 TKX853238 TUT853238 UEP853238 UOL853238 UYH853238 VID853238 VRZ853238 WBV853238 WLR853238 WVN853238 F918774 JB918774 SX918774 ACT918774 AMP918774 AWL918774 BGH918774 BQD918774 BZZ918774 CJV918774 CTR918774 DDN918774 DNJ918774 DXF918774 EHB918774 EQX918774 FAT918774 FKP918774 FUL918774 GEH918774 GOD918774 GXZ918774 HHV918774 HRR918774 IBN918774 ILJ918774 IVF918774 JFB918774 JOX918774 JYT918774 KIP918774 KSL918774 LCH918774 LMD918774 LVZ918774 MFV918774 MPR918774 MZN918774 NJJ918774 NTF918774 ODB918774 OMX918774 OWT918774 PGP918774 PQL918774 QAH918774 QKD918774 QTZ918774 RDV918774 RNR918774 RXN918774 SHJ918774 SRF918774 TBB918774 TKX918774 TUT918774 UEP918774 UOL918774 UYH918774 VID918774 VRZ918774 WBV918774 WLR918774 WVN918774 F984310 JB984310 SX984310 ACT984310 AMP984310 AWL984310 BGH984310 BQD984310 BZZ984310 CJV984310 CTR984310 DDN984310 DNJ984310 DXF984310 EHB984310 EQX984310 FAT984310 FKP984310 FUL984310 GEH984310 GOD984310 GXZ984310 HHV984310 HRR984310 IBN984310 ILJ984310 IVF984310 JFB984310 JOX984310 JYT984310 KIP984310 KSL984310 LCH984310 LMD984310 LVZ984310 MFV984310 MPR984310 MZN984310 NJJ984310 NTF984310 ODB984310 OMX984310 OWT984310 PGP984310 PQL984310 QAH984310 QKD984310 QTZ984310 RDV984310 RNR984310 RXN984310 SHJ984310 SRF984310 TBB984310 TKX984310 TUT984310 UEP984310 UOL984310 UYH984310 VID984310 VRZ984310 WBV984310 WLR984310 WVN984310 F1099 JB1099 SX1099 ACT1099 AMP1099 AWL1099 BGH1099 BQD1099 BZZ1099 CJV1099 CTR1099 DDN1099 DNJ1099 DXF1099 EHB1099 EQX1099 FAT1099 FKP1099 FUL1099 GEH1099 GOD1099 GXZ1099 HHV1099 HRR1099 IBN1099 ILJ1099 IVF1099 JFB1099 JOX1099 JYT1099 KIP1099 KSL1099 LCH1099 LMD1099 LVZ1099 MFV1099 MPR1099 MZN1099 NJJ1099 NTF1099 ODB1099 OMX1099 OWT1099 PGP1099 PQL1099 QAH1099 QKD1099 QTZ1099 RDV1099 RNR1099 RXN1099 SHJ1099 SRF1099 TBB1099 TKX1099 TUT1099 UEP1099 UOL1099 UYH1099 VID1099 VRZ1099 WBV1099 WLR1099 WVN1099 F66814 JB66814 SX66814 ACT66814 AMP66814 AWL66814 BGH66814 BQD66814 BZZ66814 CJV66814 CTR66814 DDN66814 DNJ66814 DXF66814 EHB66814 EQX66814 FAT66814 FKP66814 FUL66814 GEH66814 GOD66814 GXZ66814 HHV66814 HRR66814 IBN66814 ILJ66814 IVF66814 JFB66814 JOX66814 JYT66814 KIP66814 KSL66814 LCH66814 LMD66814 LVZ66814 MFV66814 MPR66814 MZN66814 NJJ66814 NTF66814 ODB66814 OMX66814 OWT66814 PGP66814 PQL66814 QAH66814 QKD66814 QTZ66814 RDV66814 RNR66814 RXN66814 SHJ66814 SRF66814 TBB66814 TKX66814 TUT66814 UEP66814 UOL66814 UYH66814 VID66814 VRZ66814 WBV66814 WLR66814 WVN66814 F132350 JB132350 SX132350 ACT132350 AMP132350 AWL132350 BGH132350 BQD132350 BZZ132350 CJV132350 CTR132350 DDN132350 DNJ132350 DXF132350 EHB132350 EQX132350 FAT132350 FKP132350 FUL132350 GEH132350 GOD132350 GXZ132350 HHV132350 HRR132350 IBN132350 ILJ132350 IVF132350 JFB132350 JOX132350 JYT132350 KIP132350 KSL132350 LCH132350 LMD132350 LVZ132350 MFV132350 MPR132350 MZN132350 NJJ132350 NTF132350 ODB132350 OMX132350 OWT132350 PGP132350 PQL132350 QAH132350 QKD132350 QTZ132350 RDV132350 RNR132350 RXN132350 SHJ132350 SRF132350 TBB132350 TKX132350 TUT132350 UEP132350 UOL132350 UYH132350 VID132350 VRZ132350 WBV132350 WLR132350 WVN132350 F197886 JB197886 SX197886 ACT197886 AMP197886 AWL197886 BGH197886 BQD197886 BZZ197886 CJV197886 CTR197886 DDN197886 DNJ197886 DXF197886 EHB197886 EQX197886 FAT197886 FKP197886 FUL197886 GEH197886 GOD197886 GXZ197886 HHV197886 HRR197886 IBN197886 ILJ197886 IVF197886 JFB197886 JOX197886 JYT197886 KIP197886 KSL197886 LCH197886 LMD197886 LVZ197886 MFV197886 MPR197886 MZN197886 NJJ197886 NTF197886 ODB197886 OMX197886 OWT197886 PGP197886 PQL197886 QAH197886 QKD197886 QTZ197886 RDV197886 RNR197886 RXN197886 SHJ197886 SRF197886 TBB197886 TKX197886 TUT197886 UEP197886 UOL197886 UYH197886 VID197886 VRZ197886 WBV197886 WLR197886 WVN197886 F263422 JB263422 SX263422 ACT263422 AMP263422 AWL263422 BGH263422 BQD263422 BZZ263422 CJV263422 CTR263422 DDN263422 DNJ263422 DXF263422 EHB263422 EQX263422 FAT263422 FKP263422 FUL263422 GEH263422 GOD263422 GXZ263422 HHV263422 HRR263422 IBN263422 ILJ263422 IVF263422 JFB263422 JOX263422 JYT263422 KIP263422 KSL263422 LCH263422 LMD263422 LVZ263422 MFV263422 MPR263422 MZN263422 NJJ263422 NTF263422 ODB263422 OMX263422 OWT263422 PGP263422 PQL263422 QAH263422 QKD263422 QTZ263422 RDV263422 RNR263422 RXN263422 SHJ263422 SRF263422 TBB263422 TKX263422 TUT263422 UEP263422 UOL263422 UYH263422 VID263422 VRZ263422 WBV263422 WLR263422 WVN263422 F328958 JB328958 SX328958 ACT328958 AMP328958 AWL328958 BGH328958 BQD328958 BZZ328958 CJV328958 CTR328958 DDN328958 DNJ328958 DXF328958 EHB328958 EQX328958 FAT328958 FKP328958 FUL328958 GEH328958 GOD328958 GXZ328958 HHV328958 HRR328958 IBN328958 ILJ328958 IVF328958 JFB328958 JOX328958 JYT328958 KIP328958 KSL328958 LCH328958 LMD328958 LVZ328958 MFV328958 MPR328958 MZN328958 NJJ328958 NTF328958 ODB328958 OMX328958 OWT328958 PGP328958 PQL328958 QAH328958 QKD328958 QTZ328958 RDV328958 RNR328958 RXN328958 SHJ328958 SRF328958 TBB328958 TKX328958 TUT328958 UEP328958 UOL328958 UYH328958 VID328958 VRZ328958 WBV328958 WLR328958 WVN328958 F394494 JB394494 SX394494 ACT394494 AMP394494 AWL394494 BGH394494 BQD394494 BZZ394494 CJV394494 CTR394494 DDN394494 DNJ394494 DXF394494 EHB394494 EQX394494 FAT394494 FKP394494 FUL394494 GEH394494 GOD394494 GXZ394494 HHV394494 HRR394494 IBN394494 ILJ394494 IVF394494 JFB394494 JOX394494 JYT394494 KIP394494 KSL394494 LCH394494 LMD394494 LVZ394494 MFV394494 MPR394494 MZN394494 NJJ394494 NTF394494 ODB394494 OMX394494 OWT394494 PGP394494 PQL394494 QAH394494 QKD394494 QTZ394494 RDV394494 RNR394494 RXN394494 SHJ394494 SRF394494 TBB394494 TKX394494 TUT394494 UEP394494 UOL394494 UYH394494 VID394494 VRZ394494 WBV394494 WLR394494 WVN394494 F460030 JB460030 SX460030 ACT460030 AMP460030 AWL460030 BGH460030 BQD460030 BZZ460030 CJV460030 CTR460030 DDN460030 DNJ460030 DXF460030 EHB460030 EQX460030 FAT460030 FKP460030 FUL460030 GEH460030 GOD460030 GXZ460030 HHV460030 HRR460030 IBN460030 ILJ460030 IVF460030 JFB460030 JOX460030 JYT460030 KIP460030 KSL460030 LCH460030 LMD460030 LVZ460030 MFV460030 MPR460030 MZN460030 NJJ460030 NTF460030 ODB460030 OMX460030 OWT460030 PGP460030 PQL460030 QAH460030 QKD460030 QTZ460030 RDV460030 RNR460030 RXN460030 SHJ460030 SRF460030 TBB460030 TKX460030 TUT460030 UEP460030 UOL460030 UYH460030 VID460030 VRZ460030 WBV460030 WLR460030 WVN460030 F525566 JB525566 SX525566 ACT525566 AMP525566 AWL525566 BGH525566 BQD525566 BZZ525566 CJV525566 CTR525566 DDN525566 DNJ525566 DXF525566 EHB525566 EQX525566 FAT525566 FKP525566 FUL525566 GEH525566 GOD525566 GXZ525566 HHV525566 HRR525566 IBN525566 ILJ525566 IVF525566 JFB525566 JOX525566 JYT525566 KIP525566 KSL525566 LCH525566 LMD525566 LVZ525566 MFV525566 MPR525566 MZN525566 NJJ525566 NTF525566 ODB525566 OMX525566 OWT525566 PGP525566 PQL525566 QAH525566 QKD525566 QTZ525566 RDV525566 RNR525566 RXN525566 SHJ525566 SRF525566 TBB525566 TKX525566 TUT525566 UEP525566 UOL525566 UYH525566 VID525566 VRZ525566 WBV525566 WLR525566 WVN525566 F591102 JB591102 SX591102 ACT591102 AMP591102 AWL591102 BGH591102 BQD591102 BZZ591102 CJV591102 CTR591102 DDN591102 DNJ591102 DXF591102 EHB591102 EQX591102 FAT591102 FKP591102 FUL591102 GEH591102 GOD591102 GXZ591102 HHV591102 HRR591102 IBN591102 ILJ591102 IVF591102 JFB591102 JOX591102 JYT591102 KIP591102 KSL591102 LCH591102 LMD591102 LVZ591102 MFV591102 MPR591102 MZN591102 NJJ591102 NTF591102 ODB591102 OMX591102 OWT591102 PGP591102 PQL591102 QAH591102 QKD591102 QTZ591102 RDV591102 RNR591102 RXN591102 SHJ591102 SRF591102 TBB591102 TKX591102 TUT591102 UEP591102 UOL591102 UYH591102 VID591102 VRZ591102 WBV591102 WLR591102 WVN591102 F656638 JB656638 SX656638 ACT656638 AMP656638 AWL656638 BGH656638 BQD656638 BZZ656638 CJV656638 CTR656638 DDN656638 DNJ656638 DXF656638 EHB656638 EQX656638 FAT656638 FKP656638 FUL656638 GEH656638 GOD656638 GXZ656638 HHV656638 HRR656638 IBN656638 ILJ656638 IVF656638 JFB656638 JOX656638 JYT656638 KIP656638 KSL656638 LCH656638 LMD656638 LVZ656638 MFV656638 MPR656638 MZN656638 NJJ656638 NTF656638 ODB656638 OMX656638 OWT656638 PGP656638 PQL656638 QAH656638 QKD656638 QTZ656638 RDV656638 RNR656638 RXN656638 SHJ656638 SRF656638 TBB656638 TKX656638 TUT656638 UEP656638 UOL656638 UYH656638 VID656638 VRZ656638 WBV656638 WLR656638 WVN656638 F722174 JB722174 SX722174 ACT722174 AMP722174 AWL722174 BGH722174 BQD722174 BZZ722174 CJV722174 CTR722174 DDN722174 DNJ722174 DXF722174 EHB722174 EQX722174 FAT722174 FKP722174 FUL722174 GEH722174 GOD722174 GXZ722174 HHV722174 HRR722174 IBN722174 ILJ722174 IVF722174 JFB722174 JOX722174 JYT722174 KIP722174 KSL722174 LCH722174 LMD722174 LVZ722174 MFV722174 MPR722174 MZN722174 NJJ722174 NTF722174 ODB722174 OMX722174 OWT722174 PGP722174 PQL722174 QAH722174 QKD722174 QTZ722174 RDV722174 RNR722174 RXN722174 SHJ722174 SRF722174 TBB722174 TKX722174 TUT722174 UEP722174 UOL722174 UYH722174 VID722174 VRZ722174 WBV722174 WLR722174 WVN722174 F787710 JB787710 SX787710 ACT787710 AMP787710 AWL787710 BGH787710 BQD787710 BZZ787710 CJV787710 CTR787710 DDN787710 DNJ787710 DXF787710 EHB787710 EQX787710 FAT787710 FKP787710 FUL787710 GEH787710 GOD787710 GXZ787710 HHV787710 HRR787710 IBN787710 ILJ787710 IVF787710 JFB787710 JOX787710 JYT787710 KIP787710 KSL787710 LCH787710 LMD787710 LVZ787710 MFV787710 MPR787710 MZN787710 NJJ787710 NTF787710 ODB787710 OMX787710 OWT787710 PGP787710 PQL787710 QAH787710 QKD787710 QTZ787710 RDV787710 RNR787710 RXN787710 SHJ787710 SRF787710 TBB787710 TKX787710 TUT787710 UEP787710 UOL787710 UYH787710 VID787710 VRZ787710 WBV787710 WLR787710 WVN787710 F853246 JB853246 SX853246 ACT853246 AMP853246 AWL853246 BGH853246 BQD853246 BZZ853246 CJV853246 CTR853246 DDN853246 DNJ853246 DXF853246 EHB853246 EQX853246 FAT853246 FKP853246 FUL853246 GEH853246 GOD853246 GXZ853246 HHV853246 HRR853246 IBN853246 ILJ853246 IVF853246 JFB853246 JOX853246 JYT853246 KIP853246 KSL853246 LCH853246 LMD853246 LVZ853246 MFV853246 MPR853246 MZN853246 NJJ853246 NTF853246 ODB853246 OMX853246 OWT853246 PGP853246 PQL853246 QAH853246 QKD853246 QTZ853246 RDV853246 RNR853246 RXN853246 SHJ853246 SRF853246 TBB853246 TKX853246 TUT853246 UEP853246 UOL853246 UYH853246 VID853246 VRZ853246 WBV853246 WLR853246 WVN853246 F918782 JB918782 SX918782 ACT918782 AMP918782 AWL918782 BGH918782 BQD918782 BZZ918782 CJV918782 CTR918782 DDN918782 DNJ918782 DXF918782 EHB918782 EQX918782 FAT918782 FKP918782 FUL918782 GEH918782 GOD918782 GXZ918782 HHV918782 HRR918782 IBN918782 ILJ918782 IVF918782 JFB918782 JOX918782 JYT918782 KIP918782 KSL918782 LCH918782 LMD918782 LVZ918782 MFV918782 MPR918782 MZN918782 NJJ918782 NTF918782 ODB918782 OMX918782 OWT918782 PGP918782 PQL918782 QAH918782 QKD918782 QTZ918782 RDV918782 RNR918782 RXN918782 SHJ918782 SRF918782 TBB918782 TKX918782 TUT918782 UEP918782 UOL918782 UYH918782 VID918782 VRZ918782 WBV918782 WLR918782 WVN918782 F984318 JB984318 SX984318 ACT984318 AMP984318 AWL984318 BGH984318 BQD984318 BZZ984318 CJV984318 CTR984318 DDN984318 DNJ984318 DXF984318 EHB984318 EQX984318 FAT984318 FKP984318 FUL984318 GEH984318 GOD984318 GXZ984318 HHV984318 HRR984318 IBN984318 ILJ984318 IVF984318 JFB984318 JOX984318 JYT984318 KIP984318 KSL984318 LCH984318 LMD984318 LVZ984318 MFV984318 MPR984318 MZN984318 NJJ984318 NTF984318 ODB984318 OMX984318 OWT984318 PGP984318 PQL984318 QAH984318 QKD984318 QTZ984318 RDV984318 RNR984318 RXN984318 SHJ984318 SRF984318 TBB984318 TKX984318 TUT984318 UEP984318 UOL984318 UYH984318 VID984318 VRZ984318 WBV984318 WLR984318 WVN984318 F1083 F1108 F1116 F1124 F1133 M1044 M1051 M1058 M1065 M1074 M1091 M1099 M1083 M1108" xr:uid="{00000000-0002-0000-0100-000001000000}">
      <formula1>$C$226:$F$226</formula1>
    </dataValidation>
    <dataValidation type="list" allowBlank="1" showInputMessage="1" showErrorMessage="1" sqref="WVI984318 IW1044 SS1044 ACO1044 AMK1044 AWG1044 BGC1044 BPY1044 BZU1044 CJQ1044 CTM1044 DDI1044 DNE1044 DXA1044 EGW1044 EQS1044 FAO1044 FKK1044 FUG1044 GEC1044 GNY1044 GXU1044 HHQ1044 HRM1044 IBI1044 ILE1044 IVA1044 JEW1044 JOS1044 JYO1044 KIK1044 KSG1044 LCC1044 LLY1044 LVU1044 MFQ1044 MPM1044 MZI1044 NJE1044 NTA1044 OCW1044 OMS1044 OWO1044 PGK1044 PQG1044 QAC1044 QJY1044 QTU1044 RDQ1044 RNM1044 RXI1044 SHE1044 SRA1044 TAW1044 TKS1044 TUO1044 UEK1044 UOG1044 UYC1044 VHY1044 VRU1044 WBQ1044 WLM1044 WVI1044 A66766 IW66766 SS66766 ACO66766 AMK66766 AWG66766 BGC66766 BPY66766 BZU66766 CJQ66766 CTM66766 DDI66766 DNE66766 DXA66766 EGW66766 EQS66766 FAO66766 FKK66766 FUG66766 GEC66766 GNY66766 GXU66766 HHQ66766 HRM66766 IBI66766 ILE66766 IVA66766 JEW66766 JOS66766 JYO66766 KIK66766 KSG66766 LCC66766 LLY66766 LVU66766 MFQ66766 MPM66766 MZI66766 NJE66766 NTA66766 OCW66766 OMS66766 OWO66766 PGK66766 PQG66766 QAC66766 QJY66766 QTU66766 RDQ66766 RNM66766 RXI66766 SHE66766 SRA66766 TAW66766 TKS66766 TUO66766 UEK66766 UOG66766 UYC66766 VHY66766 VRU66766 WBQ66766 WLM66766 WVI66766 A132302 IW132302 SS132302 ACO132302 AMK132302 AWG132302 BGC132302 BPY132302 BZU132302 CJQ132302 CTM132302 DDI132302 DNE132302 DXA132302 EGW132302 EQS132302 FAO132302 FKK132302 FUG132302 GEC132302 GNY132302 GXU132302 HHQ132302 HRM132302 IBI132302 ILE132302 IVA132302 JEW132302 JOS132302 JYO132302 KIK132302 KSG132302 LCC132302 LLY132302 LVU132302 MFQ132302 MPM132302 MZI132302 NJE132302 NTA132302 OCW132302 OMS132302 OWO132302 PGK132302 PQG132302 QAC132302 QJY132302 QTU132302 RDQ132302 RNM132302 RXI132302 SHE132302 SRA132302 TAW132302 TKS132302 TUO132302 UEK132302 UOG132302 UYC132302 VHY132302 VRU132302 WBQ132302 WLM132302 WVI132302 A197838 IW197838 SS197838 ACO197838 AMK197838 AWG197838 BGC197838 BPY197838 BZU197838 CJQ197838 CTM197838 DDI197838 DNE197838 DXA197838 EGW197838 EQS197838 FAO197838 FKK197838 FUG197838 GEC197838 GNY197838 GXU197838 HHQ197838 HRM197838 IBI197838 ILE197838 IVA197838 JEW197838 JOS197838 JYO197838 KIK197838 KSG197838 LCC197838 LLY197838 LVU197838 MFQ197838 MPM197838 MZI197838 NJE197838 NTA197838 OCW197838 OMS197838 OWO197838 PGK197838 PQG197838 QAC197838 QJY197838 QTU197838 RDQ197838 RNM197838 RXI197838 SHE197838 SRA197838 TAW197838 TKS197838 TUO197838 UEK197838 UOG197838 UYC197838 VHY197838 VRU197838 WBQ197838 WLM197838 WVI197838 A263374 IW263374 SS263374 ACO263374 AMK263374 AWG263374 BGC263374 BPY263374 BZU263374 CJQ263374 CTM263374 DDI263374 DNE263374 DXA263374 EGW263374 EQS263374 FAO263374 FKK263374 FUG263374 GEC263374 GNY263374 GXU263374 HHQ263374 HRM263374 IBI263374 ILE263374 IVA263374 JEW263374 JOS263374 JYO263374 KIK263374 KSG263374 LCC263374 LLY263374 LVU263374 MFQ263374 MPM263374 MZI263374 NJE263374 NTA263374 OCW263374 OMS263374 OWO263374 PGK263374 PQG263374 QAC263374 QJY263374 QTU263374 RDQ263374 RNM263374 RXI263374 SHE263374 SRA263374 TAW263374 TKS263374 TUO263374 UEK263374 UOG263374 UYC263374 VHY263374 VRU263374 WBQ263374 WLM263374 WVI263374 A328910 IW328910 SS328910 ACO328910 AMK328910 AWG328910 BGC328910 BPY328910 BZU328910 CJQ328910 CTM328910 DDI328910 DNE328910 DXA328910 EGW328910 EQS328910 FAO328910 FKK328910 FUG328910 GEC328910 GNY328910 GXU328910 HHQ328910 HRM328910 IBI328910 ILE328910 IVA328910 JEW328910 JOS328910 JYO328910 KIK328910 KSG328910 LCC328910 LLY328910 LVU328910 MFQ328910 MPM328910 MZI328910 NJE328910 NTA328910 OCW328910 OMS328910 OWO328910 PGK328910 PQG328910 QAC328910 QJY328910 QTU328910 RDQ328910 RNM328910 RXI328910 SHE328910 SRA328910 TAW328910 TKS328910 TUO328910 UEK328910 UOG328910 UYC328910 VHY328910 VRU328910 WBQ328910 WLM328910 WVI328910 A394446 IW394446 SS394446 ACO394446 AMK394446 AWG394446 BGC394446 BPY394446 BZU394446 CJQ394446 CTM394446 DDI394446 DNE394446 DXA394446 EGW394446 EQS394446 FAO394446 FKK394446 FUG394446 GEC394446 GNY394446 GXU394446 HHQ394446 HRM394446 IBI394446 ILE394446 IVA394446 JEW394446 JOS394446 JYO394446 KIK394446 KSG394446 LCC394446 LLY394446 LVU394446 MFQ394446 MPM394446 MZI394446 NJE394446 NTA394446 OCW394446 OMS394446 OWO394446 PGK394446 PQG394446 QAC394446 QJY394446 QTU394446 RDQ394446 RNM394446 RXI394446 SHE394446 SRA394446 TAW394446 TKS394446 TUO394446 UEK394446 UOG394446 UYC394446 VHY394446 VRU394446 WBQ394446 WLM394446 WVI394446 A459982 IW459982 SS459982 ACO459982 AMK459982 AWG459982 BGC459982 BPY459982 BZU459982 CJQ459982 CTM459982 DDI459982 DNE459982 DXA459982 EGW459982 EQS459982 FAO459982 FKK459982 FUG459982 GEC459982 GNY459982 GXU459982 HHQ459982 HRM459982 IBI459982 ILE459982 IVA459982 JEW459982 JOS459982 JYO459982 KIK459982 KSG459982 LCC459982 LLY459982 LVU459982 MFQ459982 MPM459982 MZI459982 NJE459982 NTA459982 OCW459982 OMS459982 OWO459982 PGK459982 PQG459982 QAC459982 QJY459982 QTU459982 RDQ459982 RNM459982 RXI459982 SHE459982 SRA459982 TAW459982 TKS459982 TUO459982 UEK459982 UOG459982 UYC459982 VHY459982 VRU459982 WBQ459982 WLM459982 WVI459982 A525518 IW525518 SS525518 ACO525518 AMK525518 AWG525518 BGC525518 BPY525518 BZU525518 CJQ525518 CTM525518 DDI525518 DNE525518 DXA525518 EGW525518 EQS525518 FAO525518 FKK525518 FUG525518 GEC525518 GNY525518 GXU525518 HHQ525518 HRM525518 IBI525518 ILE525518 IVA525518 JEW525518 JOS525518 JYO525518 KIK525518 KSG525518 LCC525518 LLY525518 LVU525518 MFQ525518 MPM525518 MZI525518 NJE525518 NTA525518 OCW525518 OMS525518 OWO525518 PGK525518 PQG525518 QAC525518 QJY525518 QTU525518 RDQ525518 RNM525518 RXI525518 SHE525518 SRA525518 TAW525518 TKS525518 TUO525518 UEK525518 UOG525518 UYC525518 VHY525518 VRU525518 WBQ525518 WLM525518 WVI525518 A591054 IW591054 SS591054 ACO591054 AMK591054 AWG591054 BGC591054 BPY591054 BZU591054 CJQ591054 CTM591054 DDI591054 DNE591054 DXA591054 EGW591054 EQS591054 FAO591054 FKK591054 FUG591054 GEC591054 GNY591054 GXU591054 HHQ591054 HRM591054 IBI591054 ILE591054 IVA591054 JEW591054 JOS591054 JYO591054 KIK591054 KSG591054 LCC591054 LLY591054 LVU591054 MFQ591054 MPM591054 MZI591054 NJE591054 NTA591054 OCW591054 OMS591054 OWO591054 PGK591054 PQG591054 QAC591054 QJY591054 QTU591054 RDQ591054 RNM591054 RXI591054 SHE591054 SRA591054 TAW591054 TKS591054 TUO591054 UEK591054 UOG591054 UYC591054 VHY591054 VRU591054 WBQ591054 WLM591054 WVI591054 A656590 IW656590 SS656590 ACO656590 AMK656590 AWG656590 BGC656590 BPY656590 BZU656590 CJQ656590 CTM656590 DDI656590 DNE656590 DXA656590 EGW656590 EQS656590 FAO656590 FKK656590 FUG656590 GEC656590 GNY656590 GXU656590 HHQ656590 HRM656590 IBI656590 ILE656590 IVA656590 JEW656590 JOS656590 JYO656590 KIK656590 KSG656590 LCC656590 LLY656590 LVU656590 MFQ656590 MPM656590 MZI656590 NJE656590 NTA656590 OCW656590 OMS656590 OWO656590 PGK656590 PQG656590 QAC656590 QJY656590 QTU656590 RDQ656590 RNM656590 RXI656590 SHE656590 SRA656590 TAW656590 TKS656590 TUO656590 UEK656590 UOG656590 UYC656590 VHY656590 VRU656590 WBQ656590 WLM656590 WVI656590 A722126 IW722126 SS722126 ACO722126 AMK722126 AWG722126 BGC722126 BPY722126 BZU722126 CJQ722126 CTM722126 DDI722126 DNE722126 DXA722126 EGW722126 EQS722126 FAO722126 FKK722126 FUG722126 GEC722126 GNY722126 GXU722126 HHQ722126 HRM722126 IBI722126 ILE722126 IVA722126 JEW722126 JOS722126 JYO722126 KIK722126 KSG722126 LCC722126 LLY722126 LVU722126 MFQ722126 MPM722126 MZI722126 NJE722126 NTA722126 OCW722126 OMS722126 OWO722126 PGK722126 PQG722126 QAC722126 QJY722126 QTU722126 RDQ722126 RNM722126 RXI722126 SHE722126 SRA722126 TAW722126 TKS722126 TUO722126 UEK722126 UOG722126 UYC722126 VHY722126 VRU722126 WBQ722126 WLM722126 WVI722126 A787662 IW787662 SS787662 ACO787662 AMK787662 AWG787662 BGC787662 BPY787662 BZU787662 CJQ787662 CTM787662 DDI787662 DNE787662 DXA787662 EGW787662 EQS787662 FAO787662 FKK787662 FUG787662 GEC787662 GNY787662 GXU787662 HHQ787662 HRM787662 IBI787662 ILE787662 IVA787662 JEW787662 JOS787662 JYO787662 KIK787662 KSG787662 LCC787662 LLY787662 LVU787662 MFQ787662 MPM787662 MZI787662 NJE787662 NTA787662 OCW787662 OMS787662 OWO787662 PGK787662 PQG787662 QAC787662 QJY787662 QTU787662 RDQ787662 RNM787662 RXI787662 SHE787662 SRA787662 TAW787662 TKS787662 TUO787662 UEK787662 UOG787662 UYC787662 VHY787662 VRU787662 WBQ787662 WLM787662 WVI787662 A853198 IW853198 SS853198 ACO853198 AMK853198 AWG853198 BGC853198 BPY853198 BZU853198 CJQ853198 CTM853198 DDI853198 DNE853198 DXA853198 EGW853198 EQS853198 FAO853198 FKK853198 FUG853198 GEC853198 GNY853198 GXU853198 HHQ853198 HRM853198 IBI853198 ILE853198 IVA853198 JEW853198 JOS853198 JYO853198 KIK853198 KSG853198 LCC853198 LLY853198 LVU853198 MFQ853198 MPM853198 MZI853198 NJE853198 NTA853198 OCW853198 OMS853198 OWO853198 PGK853198 PQG853198 QAC853198 QJY853198 QTU853198 RDQ853198 RNM853198 RXI853198 SHE853198 SRA853198 TAW853198 TKS853198 TUO853198 UEK853198 UOG853198 UYC853198 VHY853198 VRU853198 WBQ853198 WLM853198 WVI853198 A918734 IW918734 SS918734 ACO918734 AMK918734 AWG918734 BGC918734 BPY918734 BZU918734 CJQ918734 CTM918734 DDI918734 DNE918734 DXA918734 EGW918734 EQS918734 FAO918734 FKK918734 FUG918734 GEC918734 GNY918734 GXU918734 HHQ918734 HRM918734 IBI918734 ILE918734 IVA918734 JEW918734 JOS918734 JYO918734 KIK918734 KSG918734 LCC918734 LLY918734 LVU918734 MFQ918734 MPM918734 MZI918734 NJE918734 NTA918734 OCW918734 OMS918734 OWO918734 PGK918734 PQG918734 QAC918734 QJY918734 QTU918734 RDQ918734 RNM918734 RXI918734 SHE918734 SRA918734 TAW918734 TKS918734 TUO918734 UEK918734 UOG918734 UYC918734 VHY918734 VRU918734 WBQ918734 WLM918734 WVI918734 A984270 IW984270 SS984270 ACO984270 AMK984270 AWG984270 BGC984270 BPY984270 BZU984270 CJQ984270 CTM984270 DDI984270 DNE984270 DXA984270 EGW984270 EQS984270 FAO984270 FKK984270 FUG984270 GEC984270 GNY984270 GXU984270 HHQ984270 HRM984270 IBI984270 ILE984270 IVA984270 JEW984270 JOS984270 JYO984270 KIK984270 KSG984270 LCC984270 LLY984270 LVU984270 MFQ984270 MPM984270 MZI984270 NJE984270 NTA984270 OCW984270 OMS984270 OWO984270 PGK984270 PQG984270 QAC984270 QJY984270 QTU984270 RDQ984270 RNM984270 RXI984270 SHE984270 SRA984270 TAW984270 TKS984270 TUO984270 UEK984270 UOG984270 UYC984270 VHY984270 VRU984270 WBQ984270 WLM984270 WVI984270 WLM984318 IW1051 SS1051 ACO1051 AMK1051 AWG1051 BGC1051 BPY1051 BZU1051 CJQ1051 CTM1051 DDI1051 DNE1051 DXA1051 EGW1051 EQS1051 FAO1051 FKK1051 FUG1051 GEC1051 GNY1051 GXU1051 HHQ1051 HRM1051 IBI1051 ILE1051 IVA1051 JEW1051 JOS1051 JYO1051 KIK1051 KSG1051 LCC1051 LLY1051 LVU1051 MFQ1051 MPM1051 MZI1051 NJE1051 NTA1051 OCW1051 OMS1051 OWO1051 PGK1051 PQG1051 QAC1051 QJY1051 QTU1051 RDQ1051 RNM1051 RXI1051 SHE1051 SRA1051 TAW1051 TKS1051 TUO1051 UEK1051 UOG1051 UYC1051 VHY1051 VRU1051 WBQ1051 WLM1051 WVI1051 A66774 IW66774 SS66774 ACO66774 AMK66774 AWG66774 BGC66774 BPY66774 BZU66774 CJQ66774 CTM66774 DDI66774 DNE66774 DXA66774 EGW66774 EQS66774 FAO66774 FKK66774 FUG66774 GEC66774 GNY66774 GXU66774 HHQ66774 HRM66774 IBI66774 ILE66774 IVA66774 JEW66774 JOS66774 JYO66774 KIK66774 KSG66774 LCC66774 LLY66774 LVU66774 MFQ66774 MPM66774 MZI66774 NJE66774 NTA66774 OCW66774 OMS66774 OWO66774 PGK66774 PQG66774 QAC66774 QJY66774 QTU66774 RDQ66774 RNM66774 RXI66774 SHE66774 SRA66774 TAW66774 TKS66774 TUO66774 UEK66774 UOG66774 UYC66774 VHY66774 VRU66774 WBQ66774 WLM66774 WVI66774 A132310 IW132310 SS132310 ACO132310 AMK132310 AWG132310 BGC132310 BPY132310 BZU132310 CJQ132310 CTM132310 DDI132310 DNE132310 DXA132310 EGW132310 EQS132310 FAO132310 FKK132310 FUG132310 GEC132310 GNY132310 GXU132310 HHQ132310 HRM132310 IBI132310 ILE132310 IVA132310 JEW132310 JOS132310 JYO132310 KIK132310 KSG132310 LCC132310 LLY132310 LVU132310 MFQ132310 MPM132310 MZI132310 NJE132310 NTA132310 OCW132310 OMS132310 OWO132310 PGK132310 PQG132310 QAC132310 QJY132310 QTU132310 RDQ132310 RNM132310 RXI132310 SHE132310 SRA132310 TAW132310 TKS132310 TUO132310 UEK132310 UOG132310 UYC132310 VHY132310 VRU132310 WBQ132310 WLM132310 WVI132310 A197846 IW197846 SS197846 ACO197846 AMK197846 AWG197846 BGC197846 BPY197846 BZU197846 CJQ197846 CTM197846 DDI197846 DNE197846 DXA197846 EGW197846 EQS197846 FAO197846 FKK197846 FUG197846 GEC197846 GNY197846 GXU197846 HHQ197846 HRM197846 IBI197846 ILE197846 IVA197846 JEW197846 JOS197846 JYO197846 KIK197846 KSG197846 LCC197846 LLY197846 LVU197846 MFQ197846 MPM197846 MZI197846 NJE197846 NTA197846 OCW197846 OMS197846 OWO197846 PGK197846 PQG197846 QAC197846 QJY197846 QTU197846 RDQ197846 RNM197846 RXI197846 SHE197846 SRA197846 TAW197846 TKS197846 TUO197846 UEK197846 UOG197846 UYC197846 VHY197846 VRU197846 WBQ197846 WLM197846 WVI197846 A263382 IW263382 SS263382 ACO263382 AMK263382 AWG263382 BGC263382 BPY263382 BZU263382 CJQ263382 CTM263382 DDI263382 DNE263382 DXA263382 EGW263382 EQS263382 FAO263382 FKK263382 FUG263382 GEC263382 GNY263382 GXU263382 HHQ263382 HRM263382 IBI263382 ILE263382 IVA263382 JEW263382 JOS263382 JYO263382 KIK263382 KSG263382 LCC263382 LLY263382 LVU263382 MFQ263382 MPM263382 MZI263382 NJE263382 NTA263382 OCW263382 OMS263382 OWO263382 PGK263382 PQG263382 QAC263382 QJY263382 QTU263382 RDQ263382 RNM263382 RXI263382 SHE263382 SRA263382 TAW263382 TKS263382 TUO263382 UEK263382 UOG263382 UYC263382 VHY263382 VRU263382 WBQ263382 WLM263382 WVI263382 A328918 IW328918 SS328918 ACO328918 AMK328918 AWG328918 BGC328918 BPY328918 BZU328918 CJQ328918 CTM328918 DDI328918 DNE328918 DXA328918 EGW328918 EQS328918 FAO328918 FKK328918 FUG328918 GEC328918 GNY328918 GXU328918 HHQ328918 HRM328918 IBI328918 ILE328918 IVA328918 JEW328918 JOS328918 JYO328918 KIK328918 KSG328918 LCC328918 LLY328918 LVU328918 MFQ328918 MPM328918 MZI328918 NJE328918 NTA328918 OCW328918 OMS328918 OWO328918 PGK328918 PQG328918 QAC328918 QJY328918 QTU328918 RDQ328918 RNM328918 RXI328918 SHE328918 SRA328918 TAW328918 TKS328918 TUO328918 UEK328918 UOG328918 UYC328918 VHY328918 VRU328918 WBQ328918 WLM328918 WVI328918 A394454 IW394454 SS394454 ACO394454 AMK394454 AWG394454 BGC394454 BPY394454 BZU394454 CJQ394454 CTM394454 DDI394454 DNE394454 DXA394454 EGW394454 EQS394454 FAO394454 FKK394454 FUG394454 GEC394454 GNY394454 GXU394454 HHQ394454 HRM394454 IBI394454 ILE394454 IVA394454 JEW394454 JOS394454 JYO394454 KIK394454 KSG394454 LCC394454 LLY394454 LVU394454 MFQ394454 MPM394454 MZI394454 NJE394454 NTA394454 OCW394454 OMS394454 OWO394454 PGK394454 PQG394454 QAC394454 QJY394454 QTU394454 RDQ394454 RNM394454 RXI394454 SHE394454 SRA394454 TAW394454 TKS394454 TUO394454 UEK394454 UOG394454 UYC394454 VHY394454 VRU394454 WBQ394454 WLM394454 WVI394454 A459990 IW459990 SS459990 ACO459990 AMK459990 AWG459990 BGC459990 BPY459990 BZU459990 CJQ459990 CTM459990 DDI459990 DNE459990 DXA459990 EGW459990 EQS459990 FAO459990 FKK459990 FUG459990 GEC459990 GNY459990 GXU459990 HHQ459990 HRM459990 IBI459990 ILE459990 IVA459990 JEW459990 JOS459990 JYO459990 KIK459990 KSG459990 LCC459990 LLY459990 LVU459990 MFQ459990 MPM459990 MZI459990 NJE459990 NTA459990 OCW459990 OMS459990 OWO459990 PGK459990 PQG459990 QAC459990 QJY459990 QTU459990 RDQ459990 RNM459990 RXI459990 SHE459990 SRA459990 TAW459990 TKS459990 TUO459990 UEK459990 UOG459990 UYC459990 VHY459990 VRU459990 WBQ459990 WLM459990 WVI459990 A525526 IW525526 SS525526 ACO525526 AMK525526 AWG525526 BGC525526 BPY525526 BZU525526 CJQ525526 CTM525526 DDI525526 DNE525526 DXA525526 EGW525526 EQS525526 FAO525526 FKK525526 FUG525526 GEC525526 GNY525526 GXU525526 HHQ525526 HRM525526 IBI525526 ILE525526 IVA525526 JEW525526 JOS525526 JYO525526 KIK525526 KSG525526 LCC525526 LLY525526 LVU525526 MFQ525526 MPM525526 MZI525526 NJE525526 NTA525526 OCW525526 OMS525526 OWO525526 PGK525526 PQG525526 QAC525526 QJY525526 QTU525526 RDQ525526 RNM525526 RXI525526 SHE525526 SRA525526 TAW525526 TKS525526 TUO525526 UEK525526 UOG525526 UYC525526 VHY525526 VRU525526 WBQ525526 WLM525526 WVI525526 A591062 IW591062 SS591062 ACO591062 AMK591062 AWG591062 BGC591062 BPY591062 BZU591062 CJQ591062 CTM591062 DDI591062 DNE591062 DXA591062 EGW591062 EQS591062 FAO591062 FKK591062 FUG591062 GEC591062 GNY591062 GXU591062 HHQ591062 HRM591062 IBI591062 ILE591062 IVA591062 JEW591062 JOS591062 JYO591062 KIK591062 KSG591062 LCC591062 LLY591062 LVU591062 MFQ591062 MPM591062 MZI591062 NJE591062 NTA591062 OCW591062 OMS591062 OWO591062 PGK591062 PQG591062 QAC591062 QJY591062 QTU591062 RDQ591062 RNM591062 RXI591062 SHE591062 SRA591062 TAW591062 TKS591062 TUO591062 UEK591062 UOG591062 UYC591062 VHY591062 VRU591062 WBQ591062 WLM591062 WVI591062 A656598 IW656598 SS656598 ACO656598 AMK656598 AWG656598 BGC656598 BPY656598 BZU656598 CJQ656598 CTM656598 DDI656598 DNE656598 DXA656598 EGW656598 EQS656598 FAO656598 FKK656598 FUG656598 GEC656598 GNY656598 GXU656598 HHQ656598 HRM656598 IBI656598 ILE656598 IVA656598 JEW656598 JOS656598 JYO656598 KIK656598 KSG656598 LCC656598 LLY656598 LVU656598 MFQ656598 MPM656598 MZI656598 NJE656598 NTA656598 OCW656598 OMS656598 OWO656598 PGK656598 PQG656598 QAC656598 QJY656598 QTU656598 RDQ656598 RNM656598 RXI656598 SHE656598 SRA656598 TAW656598 TKS656598 TUO656598 UEK656598 UOG656598 UYC656598 VHY656598 VRU656598 WBQ656598 WLM656598 WVI656598 A722134 IW722134 SS722134 ACO722134 AMK722134 AWG722134 BGC722134 BPY722134 BZU722134 CJQ722134 CTM722134 DDI722134 DNE722134 DXA722134 EGW722134 EQS722134 FAO722134 FKK722134 FUG722134 GEC722134 GNY722134 GXU722134 HHQ722134 HRM722134 IBI722134 ILE722134 IVA722134 JEW722134 JOS722134 JYO722134 KIK722134 KSG722134 LCC722134 LLY722134 LVU722134 MFQ722134 MPM722134 MZI722134 NJE722134 NTA722134 OCW722134 OMS722134 OWO722134 PGK722134 PQG722134 QAC722134 QJY722134 QTU722134 RDQ722134 RNM722134 RXI722134 SHE722134 SRA722134 TAW722134 TKS722134 TUO722134 UEK722134 UOG722134 UYC722134 VHY722134 VRU722134 WBQ722134 WLM722134 WVI722134 A787670 IW787670 SS787670 ACO787670 AMK787670 AWG787670 BGC787670 BPY787670 BZU787670 CJQ787670 CTM787670 DDI787670 DNE787670 DXA787670 EGW787670 EQS787670 FAO787670 FKK787670 FUG787670 GEC787670 GNY787670 GXU787670 HHQ787670 HRM787670 IBI787670 ILE787670 IVA787670 JEW787670 JOS787670 JYO787670 KIK787670 KSG787670 LCC787670 LLY787670 LVU787670 MFQ787670 MPM787670 MZI787670 NJE787670 NTA787670 OCW787670 OMS787670 OWO787670 PGK787670 PQG787670 QAC787670 QJY787670 QTU787670 RDQ787670 RNM787670 RXI787670 SHE787670 SRA787670 TAW787670 TKS787670 TUO787670 UEK787670 UOG787670 UYC787670 VHY787670 VRU787670 WBQ787670 WLM787670 WVI787670 A853206 IW853206 SS853206 ACO853206 AMK853206 AWG853206 BGC853206 BPY853206 BZU853206 CJQ853206 CTM853206 DDI853206 DNE853206 DXA853206 EGW853206 EQS853206 FAO853206 FKK853206 FUG853206 GEC853206 GNY853206 GXU853206 HHQ853206 HRM853206 IBI853206 ILE853206 IVA853206 JEW853206 JOS853206 JYO853206 KIK853206 KSG853206 LCC853206 LLY853206 LVU853206 MFQ853206 MPM853206 MZI853206 NJE853206 NTA853206 OCW853206 OMS853206 OWO853206 PGK853206 PQG853206 QAC853206 QJY853206 QTU853206 RDQ853206 RNM853206 RXI853206 SHE853206 SRA853206 TAW853206 TKS853206 TUO853206 UEK853206 UOG853206 UYC853206 VHY853206 VRU853206 WBQ853206 WLM853206 WVI853206 A918742 IW918742 SS918742 ACO918742 AMK918742 AWG918742 BGC918742 BPY918742 BZU918742 CJQ918742 CTM918742 DDI918742 DNE918742 DXA918742 EGW918742 EQS918742 FAO918742 FKK918742 FUG918742 GEC918742 GNY918742 GXU918742 HHQ918742 HRM918742 IBI918742 ILE918742 IVA918742 JEW918742 JOS918742 JYO918742 KIK918742 KSG918742 LCC918742 LLY918742 LVU918742 MFQ918742 MPM918742 MZI918742 NJE918742 NTA918742 OCW918742 OMS918742 OWO918742 PGK918742 PQG918742 QAC918742 QJY918742 QTU918742 RDQ918742 RNM918742 RXI918742 SHE918742 SRA918742 TAW918742 TKS918742 TUO918742 UEK918742 UOG918742 UYC918742 VHY918742 VRU918742 WBQ918742 WLM918742 WVI918742 A984278 IW984278 SS984278 ACO984278 AMK984278 AWG984278 BGC984278 BPY984278 BZU984278 CJQ984278 CTM984278 DDI984278 DNE984278 DXA984278 EGW984278 EQS984278 FAO984278 FKK984278 FUG984278 GEC984278 GNY984278 GXU984278 HHQ984278 HRM984278 IBI984278 ILE984278 IVA984278 JEW984278 JOS984278 JYO984278 KIK984278 KSG984278 LCC984278 LLY984278 LVU984278 MFQ984278 MPM984278 MZI984278 NJE984278 NTA984278 OCW984278 OMS984278 OWO984278 PGK984278 PQG984278 QAC984278 QJY984278 QTU984278 RDQ984278 RNM984278 RXI984278 SHE984278 SRA984278 TAW984278 TKS984278 TUO984278 UEK984278 UOG984278 UYC984278 VHY984278 VRU984278 WBQ984278 WLM984278 WVI984278 WBQ984318 IW1058 SS1058 ACO1058 AMK1058 AWG1058 BGC1058 BPY1058 BZU1058 CJQ1058 CTM1058 DDI1058 DNE1058 DXA1058 EGW1058 EQS1058 FAO1058 FKK1058 FUG1058 GEC1058 GNY1058 GXU1058 HHQ1058 HRM1058 IBI1058 ILE1058 IVA1058 JEW1058 JOS1058 JYO1058 KIK1058 KSG1058 LCC1058 LLY1058 LVU1058 MFQ1058 MPM1058 MZI1058 NJE1058 NTA1058 OCW1058 OMS1058 OWO1058 PGK1058 PQG1058 QAC1058 QJY1058 QTU1058 RDQ1058 RNM1058 RXI1058 SHE1058 SRA1058 TAW1058 TKS1058 TUO1058 UEK1058 UOG1058 UYC1058 VHY1058 VRU1058 WBQ1058 WLM1058 WVI1058 A66781 IW66781 SS66781 ACO66781 AMK66781 AWG66781 BGC66781 BPY66781 BZU66781 CJQ66781 CTM66781 DDI66781 DNE66781 DXA66781 EGW66781 EQS66781 FAO66781 FKK66781 FUG66781 GEC66781 GNY66781 GXU66781 HHQ66781 HRM66781 IBI66781 ILE66781 IVA66781 JEW66781 JOS66781 JYO66781 KIK66781 KSG66781 LCC66781 LLY66781 LVU66781 MFQ66781 MPM66781 MZI66781 NJE66781 NTA66781 OCW66781 OMS66781 OWO66781 PGK66781 PQG66781 QAC66781 QJY66781 QTU66781 RDQ66781 RNM66781 RXI66781 SHE66781 SRA66781 TAW66781 TKS66781 TUO66781 UEK66781 UOG66781 UYC66781 VHY66781 VRU66781 WBQ66781 WLM66781 WVI66781 A132317 IW132317 SS132317 ACO132317 AMK132317 AWG132317 BGC132317 BPY132317 BZU132317 CJQ132317 CTM132317 DDI132317 DNE132317 DXA132317 EGW132317 EQS132317 FAO132317 FKK132317 FUG132317 GEC132317 GNY132317 GXU132317 HHQ132317 HRM132317 IBI132317 ILE132317 IVA132317 JEW132317 JOS132317 JYO132317 KIK132317 KSG132317 LCC132317 LLY132317 LVU132317 MFQ132317 MPM132317 MZI132317 NJE132317 NTA132317 OCW132317 OMS132317 OWO132317 PGK132317 PQG132317 QAC132317 QJY132317 QTU132317 RDQ132317 RNM132317 RXI132317 SHE132317 SRA132317 TAW132317 TKS132317 TUO132317 UEK132317 UOG132317 UYC132317 VHY132317 VRU132317 WBQ132317 WLM132317 WVI132317 A197853 IW197853 SS197853 ACO197853 AMK197853 AWG197853 BGC197853 BPY197853 BZU197853 CJQ197853 CTM197853 DDI197853 DNE197853 DXA197853 EGW197853 EQS197853 FAO197853 FKK197853 FUG197853 GEC197853 GNY197853 GXU197853 HHQ197853 HRM197853 IBI197853 ILE197853 IVA197853 JEW197853 JOS197853 JYO197853 KIK197853 KSG197853 LCC197853 LLY197853 LVU197853 MFQ197853 MPM197853 MZI197853 NJE197853 NTA197853 OCW197853 OMS197853 OWO197853 PGK197853 PQG197853 QAC197853 QJY197853 QTU197853 RDQ197853 RNM197853 RXI197853 SHE197853 SRA197853 TAW197853 TKS197853 TUO197853 UEK197853 UOG197853 UYC197853 VHY197853 VRU197853 WBQ197853 WLM197853 WVI197853 A263389 IW263389 SS263389 ACO263389 AMK263389 AWG263389 BGC263389 BPY263389 BZU263389 CJQ263389 CTM263389 DDI263389 DNE263389 DXA263389 EGW263389 EQS263389 FAO263389 FKK263389 FUG263389 GEC263389 GNY263389 GXU263389 HHQ263389 HRM263389 IBI263389 ILE263389 IVA263389 JEW263389 JOS263389 JYO263389 KIK263389 KSG263389 LCC263389 LLY263389 LVU263389 MFQ263389 MPM263389 MZI263389 NJE263389 NTA263389 OCW263389 OMS263389 OWO263389 PGK263389 PQG263389 QAC263389 QJY263389 QTU263389 RDQ263389 RNM263389 RXI263389 SHE263389 SRA263389 TAW263389 TKS263389 TUO263389 UEK263389 UOG263389 UYC263389 VHY263389 VRU263389 WBQ263389 WLM263389 WVI263389 A328925 IW328925 SS328925 ACO328925 AMK328925 AWG328925 BGC328925 BPY328925 BZU328925 CJQ328925 CTM328925 DDI328925 DNE328925 DXA328925 EGW328925 EQS328925 FAO328925 FKK328925 FUG328925 GEC328925 GNY328925 GXU328925 HHQ328925 HRM328925 IBI328925 ILE328925 IVA328925 JEW328925 JOS328925 JYO328925 KIK328925 KSG328925 LCC328925 LLY328925 LVU328925 MFQ328925 MPM328925 MZI328925 NJE328925 NTA328925 OCW328925 OMS328925 OWO328925 PGK328925 PQG328925 QAC328925 QJY328925 QTU328925 RDQ328925 RNM328925 RXI328925 SHE328925 SRA328925 TAW328925 TKS328925 TUO328925 UEK328925 UOG328925 UYC328925 VHY328925 VRU328925 WBQ328925 WLM328925 WVI328925 A394461 IW394461 SS394461 ACO394461 AMK394461 AWG394461 BGC394461 BPY394461 BZU394461 CJQ394461 CTM394461 DDI394461 DNE394461 DXA394461 EGW394461 EQS394461 FAO394461 FKK394461 FUG394461 GEC394461 GNY394461 GXU394461 HHQ394461 HRM394461 IBI394461 ILE394461 IVA394461 JEW394461 JOS394461 JYO394461 KIK394461 KSG394461 LCC394461 LLY394461 LVU394461 MFQ394461 MPM394461 MZI394461 NJE394461 NTA394461 OCW394461 OMS394461 OWO394461 PGK394461 PQG394461 QAC394461 QJY394461 QTU394461 RDQ394461 RNM394461 RXI394461 SHE394461 SRA394461 TAW394461 TKS394461 TUO394461 UEK394461 UOG394461 UYC394461 VHY394461 VRU394461 WBQ394461 WLM394461 WVI394461 A459997 IW459997 SS459997 ACO459997 AMK459997 AWG459997 BGC459997 BPY459997 BZU459997 CJQ459997 CTM459997 DDI459997 DNE459997 DXA459997 EGW459997 EQS459997 FAO459997 FKK459997 FUG459997 GEC459997 GNY459997 GXU459997 HHQ459997 HRM459997 IBI459997 ILE459997 IVA459997 JEW459997 JOS459997 JYO459997 KIK459997 KSG459997 LCC459997 LLY459997 LVU459997 MFQ459997 MPM459997 MZI459997 NJE459997 NTA459997 OCW459997 OMS459997 OWO459997 PGK459997 PQG459997 QAC459997 QJY459997 QTU459997 RDQ459997 RNM459997 RXI459997 SHE459997 SRA459997 TAW459997 TKS459997 TUO459997 UEK459997 UOG459997 UYC459997 VHY459997 VRU459997 WBQ459997 WLM459997 WVI459997 A525533 IW525533 SS525533 ACO525533 AMK525533 AWG525533 BGC525533 BPY525533 BZU525533 CJQ525533 CTM525533 DDI525533 DNE525533 DXA525533 EGW525533 EQS525533 FAO525533 FKK525533 FUG525533 GEC525533 GNY525533 GXU525533 HHQ525533 HRM525533 IBI525533 ILE525533 IVA525533 JEW525533 JOS525533 JYO525533 KIK525533 KSG525533 LCC525533 LLY525533 LVU525533 MFQ525533 MPM525533 MZI525533 NJE525533 NTA525533 OCW525533 OMS525533 OWO525533 PGK525533 PQG525533 QAC525533 QJY525533 QTU525533 RDQ525533 RNM525533 RXI525533 SHE525533 SRA525533 TAW525533 TKS525533 TUO525533 UEK525533 UOG525533 UYC525533 VHY525533 VRU525533 WBQ525533 WLM525533 WVI525533 A591069 IW591069 SS591069 ACO591069 AMK591069 AWG591069 BGC591069 BPY591069 BZU591069 CJQ591069 CTM591069 DDI591069 DNE591069 DXA591069 EGW591069 EQS591069 FAO591069 FKK591069 FUG591069 GEC591069 GNY591069 GXU591069 HHQ591069 HRM591069 IBI591069 ILE591069 IVA591069 JEW591069 JOS591069 JYO591069 KIK591069 KSG591069 LCC591069 LLY591069 LVU591069 MFQ591069 MPM591069 MZI591069 NJE591069 NTA591069 OCW591069 OMS591069 OWO591069 PGK591069 PQG591069 QAC591069 QJY591069 QTU591069 RDQ591069 RNM591069 RXI591069 SHE591069 SRA591069 TAW591069 TKS591069 TUO591069 UEK591069 UOG591069 UYC591069 VHY591069 VRU591069 WBQ591069 WLM591069 WVI591069 A656605 IW656605 SS656605 ACO656605 AMK656605 AWG656605 BGC656605 BPY656605 BZU656605 CJQ656605 CTM656605 DDI656605 DNE656605 DXA656605 EGW656605 EQS656605 FAO656605 FKK656605 FUG656605 GEC656605 GNY656605 GXU656605 HHQ656605 HRM656605 IBI656605 ILE656605 IVA656605 JEW656605 JOS656605 JYO656605 KIK656605 KSG656605 LCC656605 LLY656605 LVU656605 MFQ656605 MPM656605 MZI656605 NJE656605 NTA656605 OCW656605 OMS656605 OWO656605 PGK656605 PQG656605 QAC656605 QJY656605 QTU656605 RDQ656605 RNM656605 RXI656605 SHE656605 SRA656605 TAW656605 TKS656605 TUO656605 UEK656605 UOG656605 UYC656605 VHY656605 VRU656605 WBQ656605 WLM656605 WVI656605 A722141 IW722141 SS722141 ACO722141 AMK722141 AWG722141 BGC722141 BPY722141 BZU722141 CJQ722141 CTM722141 DDI722141 DNE722141 DXA722141 EGW722141 EQS722141 FAO722141 FKK722141 FUG722141 GEC722141 GNY722141 GXU722141 HHQ722141 HRM722141 IBI722141 ILE722141 IVA722141 JEW722141 JOS722141 JYO722141 KIK722141 KSG722141 LCC722141 LLY722141 LVU722141 MFQ722141 MPM722141 MZI722141 NJE722141 NTA722141 OCW722141 OMS722141 OWO722141 PGK722141 PQG722141 QAC722141 QJY722141 QTU722141 RDQ722141 RNM722141 RXI722141 SHE722141 SRA722141 TAW722141 TKS722141 TUO722141 UEK722141 UOG722141 UYC722141 VHY722141 VRU722141 WBQ722141 WLM722141 WVI722141 A787677 IW787677 SS787677 ACO787677 AMK787677 AWG787677 BGC787677 BPY787677 BZU787677 CJQ787677 CTM787677 DDI787677 DNE787677 DXA787677 EGW787677 EQS787677 FAO787677 FKK787677 FUG787677 GEC787677 GNY787677 GXU787677 HHQ787677 HRM787677 IBI787677 ILE787677 IVA787677 JEW787677 JOS787677 JYO787677 KIK787677 KSG787677 LCC787677 LLY787677 LVU787677 MFQ787677 MPM787677 MZI787677 NJE787677 NTA787677 OCW787677 OMS787677 OWO787677 PGK787677 PQG787677 QAC787677 QJY787677 QTU787677 RDQ787677 RNM787677 RXI787677 SHE787677 SRA787677 TAW787677 TKS787677 TUO787677 UEK787677 UOG787677 UYC787677 VHY787677 VRU787677 WBQ787677 WLM787677 WVI787677 A853213 IW853213 SS853213 ACO853213 AMK853213 AWG853213 BGC853213 BPY853213 BZU853213 CJQ853213 CTM853213 DDI853213 DNE853213 DXA853213 EGW853213 EQS853213 FAO853213 FKK853213 FUG853213 GEC853213 GNY853213 GXU853213 HHQ853213 HRM853213 IBI853213 ILE853213 IVA853213 JEW853213 JOS853213 JYO853213 KIK853213 KSG853213 LCC853213 LLY853213 LVU853213 MFQ853213 MPM853213 MZI853213 NJE853213 NTA853213 OCW853213 OMS853213 OWO853213 PGK853213 PQG853213 QAC853213 QJY853213 QTU853213 RDQ853213 RNM853213 RXI853213 SHE853213 SRA853213 TAW853213 TKS853213 TUO853213 UEK853213 UOG853213 UYC853213 VHY853213 VRU853213 WBQ853213 WLM853213 WVI853213 A918749 IW918749 SS918749 ACO918749 AMK918749 AWG918749 BGC918749 BPY918749 BZU918749 CJQ918749 CTM918749 DDI918749 DNE918749 DXA918749 EGW918749 EQS918749 FAO918749 FKK918749 FUG918749 GEC918749 GNY918749 GXU918749 HHQ918749 HRM918749 IBI918749 ILE918749 IVA918749 JEW918749 JOS918749 JYO918749 KIK918749 KSG918749 LCC918749 LLY918749 LVU918749 MFQ918749 MPM918749 MZI918749 NJE918749 NTA918749 OCW918749 OMS918749 OWO918749 PGK918749 PQG918749 QAC918749 QJY918749 QTU918749 RDQ918749 RNM918749 RXI918749 SHE918749 SRA918749 TAW918749 TKS918749 TUO918749 UEK918749 UOG918749 UYC918749 VHY918749 VRU918749 WBQ918749 WLM918749 WVI918749 A984285 IW984285 SS984285 ACO984285 AMK984285 AWG984285 BGC984285 BPY984285 BZU984285 CJQ984285 CTM984285 DDI984285 DNE984285 DXA984285 EGW984285 EQS984285 FAO984285 FKK984285 FUG984285 GEC984285 GNY984285 GXU984285 HHQ984285 HRM984285 IBI984285 ILE984285 IVA984285 JEW984285 JOS984285 JYO984285 KIK984285 KSG984285 LCC984285 LLY984285 LVU984285 MFQ984285 MPM984285 MZI984285 NJE984285 NTA984285 OCW984285 OMS984285 OWO984285 PGK984285 PQG984285 QAC984285 QJY984285 QTU984285 RDQ984285 RNM984285 RXI984285 SHE984285 SRA984285 TAW984285 TKS984285 TUO984285 UEK984285 UOG984285 UYC984285 VHY984285 VRU984285 WBQ984285 WLM984285 WVI984285 VRU984318 IW1065 SS1065 ACO1065 AMK1065 AWG1065 BGC1065 BPY1065 BZU1065 CJQ1065 CTM1065 DDI1065 DNE1065 DXA1065 EGW1065 EQS1065 FAO1065 FKK1065 FUG1065 GEC1065 GNY1065 GXU1065 HHQ1065 HRM1065 IBI1065 ILE1065 IVA1065 JEW1065 JOS1065 JYO1065 KIK1065 KSG1065 LCC1065 LLY1065 LVU1065 MFQ1065 MPM1065 MZI1065 NJE1065 NTA1065 OCW1065 OMS1065 OWO1065 PGK1065 PQG1065 QAC1065 QJY1065 QTU1065 RDQ1065 RNM1065 RXI1065 SHE1065 SRA1065 TAW1065 TKS1065 TUO1065 UEK1065 UOG1065 UYC1065 VHY1065 VRU1065 WBQ1065 WLM1065 WVI1065 A66788 IW66788 SS66788 ACO66788 AMK66788 AWG66788 BGC66788 BPY66788 BZU66788 CJQ66788 CTM66788 DDI66788 DNE66788 DXA66788 EGW66788 EQS66788 FAO66788 FKK66788 FUG66788 GEC66788 GNY66788 GXU66788 HHQ66788 HRM66788 IBI66788 ILE66788 IVA66788 JEW66788 JOS66788 JYO66788 KIK66788 KSG66788 LCC66788 LLY66788 LVU66788 MFQ66788 MPM66788 MZI66788 NJE66788 NTA66788 OCW66788 OMS66788 OWO66788 PGK66788 PQG66788 QAC66788 QJY66788 QTU66788 RDQ66788 RNM66788 RXI66788 SHE66788 SRA66788 TAW66788 TKS66788 TUO66788 UEK66788 UOG66788 UYC66788 VHY66788 VRU66788 WBQ66788 WLM66788 WVI66788 A132324 IW132324 SS132324 ACO132324 AMK132324 AWG132324 BGC132324 BPY132324 BZU132324 CJQ132324 CTM132324 DDI132324 DNE132324 DXA132324 EGW132324 EQS132324 FAO132324 FKK132324 FUG132324 GEC132324 GNY132324 GXU132324 HHQ132324 HRM132324 IBI132324 ILE132324 IVA132324 JEW132324 JOS132324 JYO132324 KIK132324 KSG132324 LCC132324 LLY132324 LVU132324 MFQ132324 MPM132324 MZI132324 NJE132324 NTA132324 OCW132324 OMS132324 OWO132324 PGK132324 PQG132324 QAC132324 QJY132324 QTU132324 RDQ132324 RNM132324 RXI132324 SHE132324 SRA132324 TAW132324 TKS132324 TUO132324 UEK132324 UOG132324 UYC132324 VHY132324 VRU132324 WBQ132324 WLM132324 WVI132324 A197860 IW197860 SS197860 ACO197860 AMK197860 AWG197860 BGC197860 BPY197860 BZU197860 CJQ197860 CTM197860 DDI197860 DNE197860 DXA197860 EGW197860 EQS197860 FAO197860 FKK197860 FUG197860 GEC197860 GNY197860 GXU197860 HHQ197860 HRM197860 IBI197860 ILE197860 IVA197860 JEW197860 JOS197860 JYO197860 KIK197860 KSG197860 LCC197860 LLY197860 LVU197860 MFQ197860 MPM197860 MZI197860 NJE197860 NTA197860 OCW197860 OMS197860 OWO197860 PGK197860 PQG197860 QAC197860 QJY197860 QTU197860 RDQ197860 RNM197860 RXI197860 SHE197860 SRA197860 TAW197860 TKS197860 TUO197860 UEK197860 UOG197860 UYC197860 VHY197860 VRU197860 WBQ197860 WLM197860 WVI197860 A263396 IW263396 SS263396 ACO263396 AMK263396 AWG263396 BGC263396 BPY263396 BZU263396 CJQ263396 CTM263396 DDI263396 DNE263396 DXA263396 EGW263396 EQS263396 FAO263396 FKK263396 FUG263396 GEC263396 GNY263396 GXU263396 HHQ263396 HRM263396 IBI263396 ILE263396 IVA263396 JEW263396 JOS263396 JYO263396 KIK263396 KSG263396 LCC263396 LLY263396 LVU263396 MFQ263396 MPM263396 MZI263396 NJE263396 NTA263396 OCW263396 OMS263396 OWO263396 PGK263396 PQG263396 QAC263396 QJY263396 QTU263396 RDQ263396 RNM263396 RXI263396 SHE263396 SRA263396 TAW263396 TKS263396 TUO263396 UEK263396 UOG263396 UYC263396 VHY263396 VRU263396 WBQ263396 WLM263396 WVI263396 A328932 IW328932 SS328932 ACO328932 AMK328932 AWG328932 BGC328932 BPY328932 BZU328932 CJQ328932 CTM328932 DDI328932 DNE328932 DXA328932 EGW328932 EQS328932 FAO328932 FKK328932 FUG328932 GEC328932 GNY328932 GXU328932 HHQ328932 HRM328932 IBI328932 ILE328932 IVA328932 JEW328932 JOS328932 JYO328932 KIK328932 KSG328932 LCC328932 LLY328932 LVU328932 MFQ328932 MPM328932 MZI328932 NJE328932 NTA328932 OCW328932 OMS328932 OWO328932 PGK328932 PQG328932 QAC328932 QJY328932 QTU328932 RDQ328932 RNM328932 RXI328932 SHE328932 SRA328932 TAW328932 TKS328932 TUO328932 UEK328932 UOG328932 UYC328932 VHY328932 VRU328932 WBQ328932 WLM328932 WVI328932 A394468 IW394468 SS394468 ACO394468 AMK394468 AWG394468 BGC394468 BPY394468 BZU394468 CJQ394468 CTM394468 DDI394468 DNE394468 DXA394468 EGW394468 EQS394468 FAO394468 FKK394468 FUG394468 GEC394468 GNY394468 GXU394468 HHQ394468 HRM394468 IBI394468 ILE394468 IVA394468 JEW394468 JOS394468 JYO394468 KIK394468 KSG394468 LCC394468 LLY394468 LVU394468 MFQ394468 MPM394468 MZI394468 NJE394468 NTA394468 OCW394468 OMS394468 OWO394468 PGK394468 PQG394468 QAC394468 QJY394468 QTU394468 RDQ394468 RNM394468 RXI394468 SHE394468 SRA394468 TAW394468 TKS394468 TUO394468 UEK394468 UOG394468 UYC394468 VHY394468 VRU394468 WBQ394468 WLM394468 WVI394468 A460004 IW460004 SS460004 ACO460004 AMK460004 AWG460004 BGC460004 BPY460004 BZU460004 CJQ460004 CTM460004 DDI460004 DNE460004 DXA460004 EGW460004 EQS460004 FAO460004 FKK460004 FUG460004 GEC460004 GNY460004 GXU460004 HHQ460004 HRM460004 IBI460004 ILE460004 IVA460004 JEW460004 JOS460004 JYO460004 KIK460004 KSG460004 LCC460004 LLY460004 LVU460004 MFQ460004 MPM460004 MZI460004 NJE460004 NTA460004 OCW460004 OMS460004 OWO460004 PGK460004 PQG460004 QAC460004 QJY460004 QTU460004 RDQ460004 RNM460004 RXI460004 SHE460004 SRA460004 TAW460004 TKS460004 TUO460004 UEK460004 UOG460004 UYC460004 VHY460004 VRU460004 WBQ460004 WLM460004 WVI460004 A525540 IW525540 SS525540 ACO525540 AMK525540 AWG525540 BGC525540 BPY525540 BZU525540 CJQ525540 CTM525540 DDI525540 DNE525540 DXA525540 EGW525540 EQS525540 FAO525540 FKK525540 FUG525540 GEC525540 GNY525540 GXU525540 HHQ525540 HRM525540 IBI525540 ILE525540 IVA525540 JEW525540 JOS525540 JYO525540 KIK525540 KSG525540 LCC525540 LLY525540 LVU525540 MFQ525540 MPM525540 MZI525540 NJE525540 NTA525540 OCW525540 OMS525540 OWO525540 PGK525540 PQG525540 QAC525540 QJY525540 QTU525540 RDQ525540 RNM525540 RXI525540 SHE525540 SRA525540 TAW525540 TKS525540 TUO525540 UEK525540 UOG525540 UYC525540 VHY525540 VRU525540 WBQ525540 WLM525540 WVI525540 A591076 IW591076 SS591076 ACO591076 AMK591076 AWG591076 BGC591076 BPY591076 BZU591076 CJQ591076 CTM591076 DDI591076 DNE591076 DXA591076 EGW591076 EQS591076 FAO591076 FKK591076 FUG591076 GEC591076 GNY591076 GXU591076 HHQ591076 HRM591076 IBI591076 ILE591076 IVA591076 JEW591076 JOS591076 JYO591076 KIK591076 KSG591076 LCC591076 LLY591076 LVU591076 MFQ591076 MPM591076 MZI591076 NJE591076 NTA591076 OCW591076 OMS591076 OWO591076 PGK591076 PQG591076 QAC591076 QJY591076 QTU591076 RDQ591076 RNM591076 RXI591076 SHE591076 SRA591076 TAW591076 TKS591076 TUO591076 UEK591076 UOG591076 UYC591076 VHY591076 VRU591076 WBQ591076 WLM591076 WVI591076 A656612 IW656612 SS656612 ACO656612 AMK656612 AWG656612 BGC656612 BPY656612 BZU656612 CJQ656612 CTM656612 DDI656612 DNE656612 DXA656612 EGW656612 EQS656612 FAO656612 FKK656612 FUG656612 GEC656612 GNY656612 GXU656612 HHQ656612 HRM656612 IBI656612 ILE656612 IVA656612 JEW656612 JOS656612 JYO656612 KIK656612 KSG656612 LCC656612 LLY656612 LVU656612 MFQ656612 MPM656612 MZI656612 NJE656612 NTA656612 OCW656612 OMS656612 OWO656612 PGK656612 PQG656612 QAC656612 QJY656612 QTU656612 RDQ656612 RNM656612 RXI656612 SHE656612 SRA656612 TAW656612 TKS656612 TUO656612 UEK656612 UOG656612 UYC656612 VHY656612 VRU656612 WBQ656612 WLM656612 WVI656612 A722148 IW722148 SS722148 ACO722148 AMK722148 AWG722148 BGC722148 BPY722148 BZU722148 CJQ722148 CTM722148 DDI722148 DNE722148 DXA722148 EGW722148 EQS722148 FAO722148 FKK722148 FUG722148 GEC722148 GNY722148 GXU722148 HHQ722148 HRM722148 IBI722148 ILE722148 IVA722148 JEW722148 JOS722148 JYO722148 KIK722148 KSG722148 LCC722148 LLY722148 LVU722148 MFQ722148 MPM722148 MZI722148 NJE722148 NTA722148 OCW722148 OMS722148 OWO722148 PGK722148 PQG722148 QAC722148 QJY722148 QTU722148 RDQ722148 RNM722148 RXI722148 SHE722148 SRA722148 TAW722148 TKS722148 TUO722148 UEK722148 UOG722148 UYC722148 VHY722148 VRU722148 WBQ722148 WLM722148 WVI722148 A787684 IW787684 SS787684 ACO787684 AMK787684 AWG787684 BGC787684 BPY787684 BZU787684 CJQ787684 CTM787684 DDI787684 DNE787684 DXA787684 EGW787684 EQS787684 FAO787684 FKK787684 FUG787684 GEC787684 GNY787684 GXU787684 HHQ787684 HRM787684 IBI787684 ILE787684 IVA787684 JEW787684 JOS787684 JYO787684 KIK787684 KSG787684 LCC787684 LLY787684 LVU787684 MFQ787684 MPM787684 MZI787684 NJE787684 NTA787684 OCW787684 OMS787684 OWO787684 PGK787684 PQG787684 QAC787684 QJY787684 QTU787684 RDQ787684 RNM787684 RXI787684 SHE787684 SRA787684 TAW787684 TKS787684 TUO787684 UEK787684 UOG787684 UYC787684 VHY787684 VRU787684 WBQ787684 WLM787684 WVI787684 A853220 IW853220 SS853220 ACO853220 AMK853220 AWG853220 BGC853220 BPY853220 BZU853220 CJQ853220 CTM853220 DDI853220 DNE853220 DXA853220 EGW853220 EQS853220 FAO853220 FKK853220 FUG853220 GEC853220 GNY853220 GXU853220 HHQ853220 HRM853220 IBI853220 ILE853220 IVA853220 JEW853220 JOS853220 JYO853220 KIK853220 KSG853220 LCC853220 LLY853220 LVU853220 MFQ853220 MPM853220 MZI853220 NJE853220 NTA853220 OCW853220 OMS853220 OWO853220 PGK853220 PQG853220 QAC853220 QJY853220 QTU853220 RDQ853220 RNM853220 RXI853220 SHE853220 SRA853220 TAW853220 TKS853220 TUO853220 UEK853220 UOG853220 UYC853220 VHY853220 VRU853220 WBQ853220 WLM853220 WVI853220 A918756 IW918756 SS918756 ACO918756 AMK918756 AWG918756 BGC918756 BPY918756 BZU918756 CJQ918756 CTM918756 DDI918756 DNE918756 DXA918756 EGW918756 EQS918756 FAO918756 FKK918756 FUG918756 GEC918756 GNY918756 GXU918756 HHQ918756 HRM918756 IBI918756 ILE918756 IVA918756 JEW918756 JOS918756 JYO918756 KIK918756 KSG918756 LCC918756 LLY918756 LVU918756 MFQ918756 MPM918756 MZI918756 NJE918756 NTA918756 OCW918756 OMS918756 OWO918756 PGK918756 PQG918756 QAC918756 QJY918756 QTU918756 RDQ918756 RNM918756 RXI918756 SHE918756 SRA918756 TAW918756 TKS918756 TUO918756 UEK918756 UOG918756 UYC918756 VHY918756 VRU918756 WBQ918756 WLM918756 WVI918756 A984292 IW984292 SS984292 ACO984292 AMK984292 AWG984292 BGC984292 BPY984292 BZU984292 CJQ984292 CTM984292 DDI984292 DNE984292 DXA984292 EGW984292 EQS984292 FAO984292 FKK984292 FUG984292 GEC984292 GNY984292 GXU984292 HHQ984292 HRM984292 IBI984292 ILE984292 IVA984292 JEW984292 JOS984292 JYO984292 KIK984292 KSG984292 LCC984292 LLY984292 LVU984292 MFQ984292 MPM984292 MZI984292 NJE984292 NTA984292 OCW984292 OMS984292 OWO984292 PGK984292 PQG984292 QAC984292 QJY984292 QTU984292 RDQ984292 RNM984292 RXI984292 SHE984292 SRA984292 TAW984292 TKS984292 TUO984292 UEK984292 UOG984292 UYC984292 VHY984292 VRU984292 WBQ984292 WLM984292 WVI984292 VHY984318 IW1074 SS1074 ACO1074 AMK1074 AWG1074 BGC1074 BPY1074 BZU1074 CJQ1074 CTM1074 DDI1074 DNE1074 DXA1074 EGW1074 EQS1074 FAO1074 FKK1074 FUG1074 GEC1074 GNY1074 GXU1074 HHQ1074 HRM1074 IBI1074 ILE1074 IVA1074 JEW1074 JOS1074 JYO1074 KIK1074 KSG1074 LCC1074 LLY1074 LVU1074 MFQ1074 MPM1074 MZI1074 NJE1074 NTA1074 OCW1074 OMS1074 OWO1074 PGK1074 PQG1074 QAC1074 QJY1074 QTU1074 RDQ1074 RNM1074 RXI1074 SHE1074 SRA1074 TAW1074 TKS1074 TUO1074 UEK1074 UOG1074 UYC1074 VHY1074 VRU1074 WBQ1074 WLM1074 WVI1074 A66797 IW66797 SS66797 ACO66797 AMK66797 AWG66797 BGC66797 BPY66797 BZU66797 CJQ66797 CTM66797 DDI66797 DNE66797 DXA66797 EGW66797 EQS66797 FAO66797 FKK66797 FUG66797 GEC66797 GNY66797 GXU66797 HHQ66797 HRM66797 IBI66797 ILE66797 IVA66797 JEW66797 JOS66797 JYO66797 KIK66797 KSG66797 LCC66797 LLY66797 LVU66797 MFQ66797 MPM66797 MZI66797 NJE66797 NTA66797 OCW66797 OMS66797 OWO66797 PGK66797 PQG66797 QAC66797 QJY66797 QTU66797 RDQ66797 RNM66797 RXI66797 SHE66797 SRA66797 TAW66797 TKS66797 TUO66797 UEK66797 UOG66797 UYC66797 VHY66797 VRU66797 WBQ66797 WLM66797 WVI66797 A132333 IW132333 SS132333 ACO132333 AMK132333 AWG132333 BGC132333 BPY132333 BZU132333 CJQ132333 CTM132333 DDI132333 DNE132333 DXA132333 EGW132333 EQS132333 FAO132333 FKK132333 FUG132333 GEC132333 GNY132333 GXU132333 HHQ132333 HRM132333 IBI132333 ILE132333 IVA132333 JEW132333 JOS132333 JYO132333 KIK132333 KSG132333 LCC132333 LLY132333 LVU132333 MFQ132333 MPM132333 MZI132333 NJE132333 NTA132333 OCW132333 OMS132333 OWO132333 PGK132333 PQG132333 QAC132333 QJY132333 QTU132333 RDQ132333 RNM132333 RXI132333 SHE132333 SRA132333 TAW132333 TKS132333 TUO132333 UEK132333 UOG132333 UYC132333 VHY132333 VRU132333 WBQ132333 WLM132333 WVI132333 A197869 IW197869 SS197869 ACO197869 AMK197869 AWG197869 BGC197869 BPY197869 BZU197869 CJQ197869 CTM197869 DDI197869 DNE197869 DXA197869 EGW197869 EQS197869 FAO197869 FKK197869 FUG197869 GEC197869 GNY197869 GXU197869 HHQ197869 HRM197869 IBI197869 ILE197869 IVA197869 JEW197869 JOS197869 JYO197869 KIK197869 KSG197869 LCC197869 LLY197869 LVU197869 MFQ197869 MPM197869 MZI197869 NJE197869 NTA197869 OCW197869 OMS197869 OWO197869 PGK197869 PQG197869 QAC197869 QJY197869 QTU197869 RDQ197869 RNM197869 RXI197869 SHE197869 SRA197869 TAW197869 TKS197869 TUO197869 UEK197869 UOG197869 UYC197869 VHY197869 VRU197869 WBQ197869 WLM197869 WVI197869 A263405 IW263405 SS263405 ACO263405 AMK263405 AWG263405 BGC263405 BPY263405 BZU263405 CJQ263405 CTM263405 DDI263405 DNE263405 DXA263405 EGW263405 EQS263405 FAO263405 FKK263405 FUG263405 GEC263405 GNY263405 GXU263405 HHQ263405 HRM263405 IBI263405 ILE263405 IVA263405 JEW263405 JOS263405 JYO263405 KIK263405 KSG263405 LCC263405 LLY263405 LVU263405 MFQ263405 MPM263405 MZI263405 NJE263405 NTA263405 OCW263405 OMS263405 OWO263405 PGK263405 PQG263405 QAC263405 QJY263405 QTU263405 RDQ263405 RNM263405 RXI263405 SHE263405 SRA263405 TAW263405 TKS263405 TUO263405 UEK263405 UOG263405 UYC263405 VHY263405 VRU263405 WBQ263405 WLM263405 WVI263405 A328941 IW328941 SS328941 ACO328941 AMK328941 AWG328941 BGC328941 BPY328941 BZU328941 CJQ328941 CTM328941 DDI328941 DNE328941 DXA328941 EGW328941 EQS328941 FAO328941 FKK328941 FUG328941 GEC328941 GNY328941 GXU328941 HHQ328941 HRM328941 IBI328941 ILE328941 IVA328941 JEW328941 JOS328941 JYO328941 KIK328941 KSG328941 LCC328941 LLY328941 LVU328941 MFQ328941 MPM328941 MZI328941 NJE328941 NTA328941 OCW328941 OMS328941 OWO328941 PGK328941 PQG328941 QAC328941 QJY328941 QTU328941 RDQ328941 RNM328941 RXI328941 SHE328941 SRA328941 TAW328941 TKS328941 TUO328941 UEK328941 UOG328941 UYC328941 VHY328941 VRU328941 WBQ328941 WLM328941 WVI328941 A394477 IW394477 SS394477 ACO394477 AMK394477 AWG394477 BGC394477 BPY394477 BZU394477 CJQ394477 CTM394477 DDI394477 DNE394477 DXA394477 EGW394477 EQS394477 FAO394477 FKK394477 FUG394477 GEC394477 GNY394477 GXU394477 HHQ394477 HRM394477 IBI394477 ILE394477 IVA394477 JEW394477 JOS394477 JYO394477 KIK394477 KSG394477 LCC394477 LLY394477 LVU394477 MFQ394477 MPM394477 MZI394477 NJE394477 NTA394477 OCW394477 OMS394477 OWO394477 PGK394477 PQG394477 QAC394477 QJY394477 QTU394477 RDQ394477 RNM394477 RXI394477 SHE394477 SRA394477 TAW394477 TKS394477 TUO394477 UEK394477 UOG394477 UYC394477 VHY394477 VRU394477 WBQ394477 WLM394477 WVI394477 A460013 IW460013 SS460013 ACO460013 AMK460013 AWG460013 BGC460013 BPY460013 BZU460013 CJQ460013 CTM460013 DDI460013 DNE460013 DXA460013 EGW460013 EQS460013 FAO460013 FKK460013 FUG460013 GEC460013 GNY460013 GXU460013 HHQ460013 HRM460013 IBI460013 ILE460013 IVA460013 JEW460013 JOS460013 JYO460013 KIK460013 KSG460013 LCC460013 LLY460013 LVU460013 MFQ460013 MPM460013 MZI460013 NJE460013 NTA460013 OCW460013 OMS460013 OWO460013 PGK460013 PQG460013 QAC460013 QJY460013 QTU460013 RDQ460013 RNM460013 RXI460013 SHE460013 SRA460013 TAW460013 TKS460013 TUO460013 UEK460013 UOG460013 UYC460013 VHY460013 VRU460013 WBQ460013 WLM460013 WVI460013 A525549 IW525549 SS525549 ACO525549 AMK525549 AWG525549 BGC525549 BPY525549 BZU525549 CJQ525549 CTM525549 DDI525549 DNE525549 DXA525549 EGW525549 EQS525549 FAO525549 FKK525549 FUG525549 GEC525549 GNY525549 GXU525549 HHQ525549 HRM525549 IBI525549 ILE525549 IVA525549 JEW525549 JOS525549 JYO525549 KIK525549 KSG525549 LCC525549 LLY525549 LVU525549 MFQ525549 MPM525549 MZI525549 NJE525549 NTA525549 OCW525549 OMS525549 OWO525549 PGK525549 PQG525549 QAC525549 QJY525549 QTU525549 RDQ525549 RNM525549 RXI525549 SHE525549 SRA525549 TAW525549 TKS525549 TUO525549 UEK525549 UOG525549 UYC525549 VHY525549 VRU525549 WBQ525549 WLM525549 WVI525549 A591085 IW591085 SS591085 ACO591085 AMK591085 AWG591085 BGC591085 BPY591085 BZU591085 CJQ591085 CTM591085 DDI591085 DNE591085 DXA591085 EGW591085 EQS591085 FAO591085 FKK591085 FUG591085 GEC591085 GNY591085 GXU591085 HHQ591085 HRM591085 IBI591085 ILE591085 IVA591085 JEW591085 JOS591085 JYO591085 KIK591085 KSG591085 LCC591085 LLY591085 LVU591085 MFQ591085 MPM591085 MZI591085 NJE591085 NTA591085 OCW591085 OMS591085 OWO591085 PGK591085 PQG591085 QAC591085 QJY591085 QTU591085 RDQ591085 RNM591085 RXI591085 SHE591085 SRA591085 TAW591085 TKS591085 TUO591085 UEK591085 UOG591085 UYC591085 VHY591085 VRU591085 WBQ591085 WLM591085 WVI591085 A656621 IW656621 SS656621 ACO656621 AMK656621 AWG656621 BGC656621 BPY656621 BZU656621 CJQ656621 CTM656621 DDI656621 DNE656621 DXA656621 EGW656621 EQS656621 FAO656621 FKK656621 FUG656621 GEC656621 GNY656621 GXU656621 HHQ656621 HRM656621 IBI656621 ILE656621 IVA656621 JEW656621 JOS656621 JYO656621 KIK656621 KSG656621 LCC656621 LLY656621 LVU656621 MFQ656621 MPM656621 MZI656621 NJE656621 NTA656621 OCW656621 OMS656621 OWO656621 PGK656621 PQG656621 QAC656621 QJY656621 QTU656621 RDQ656621 RNM656621 RXI656621 SHE656621 SRA656621 TAW656621 TKS656621 TUO656621 UEK656621 UOG656621 UYC656621 VHY656621 VRU656621 WBQ656621 WLM656621 WVI656621 A722157 IW722157 SS722157 ACO722157 AMK722157 AWG722157 BGC722157 BPY722157 BZU722157 CJQ722157 CTM722157 DDI722157 DNE722157 DXA722157 EGW722157 EQS722157 FAO722157 FKK722157 FUG722157 GEC722157 GNY722157 GXU722157 HHQ722157 HRM722157 IBI722157 ILE722157 IVA722157 JEW722157 JOS722157 JYO722157 KIK722157 KSG722157 LCC722157 LLY722157 LVU722157 MFQ722157 MPM722157 MZI722157 NJE722157 NTA722157 OCW722157 OMS722157 OWO722157 PGK722157 PQG722157 QAC722157 QJY722157 QTU722157 RDQ722157 RNM722157 RXI722157 SHE722157 SRA722157 TAW722157 TKS722157 TUO722157 UEK722157 UOG722157 UYC722157 VHY722157 VRU722157 WBQ722157 WLM722157 WVI722157 A787693 IW787693 SS787693 ACO787693 AMK787693 AWG787693 BGC787693 BPY787693 BZU787693 CJQ787693 CTM787693 DDI787693 DNE787693 DXA787693 EGW787693 EQS787693 FAO787693 FKK787693 FUG787693 GEC787693 GNY787693 GXU787693 HHQ787693 HRM787693 IBI787693 ILE787693 IVA787693 JEW787693 JOS787693 JYO787693 KIK787693 KSG787693 LCC787693 LLY787693 LVU787693 MFQ787693 MPM787693 MZI787693 NJE787693 NTA787693 OCW787693 OMS787693 OWO787693 PGK787693 PQG787693 QAC787693 QJY787693 QTU787693 RDQ787693 RNM787693 RXI787693 SHE787693 SRA787693 TAW787693 TKS787693 TUO787693 UEK787693 UOG787693 UYC787693 VHY787693 VRU787693 WBQ787693 WLM787693 WVI787693 A853229 IW853229 SS853229 ACO853229 AMK853229 AWG853229 BGC853229 BPY853229 BZU853229 CJQ853229 CTM853229 DDI853229 DNE853229 DXA853229 EGW853229 EQS853229 FAO853229 FKK853229 FUG853229 GEC853229 GNY853229 GXU853229 HHQ853229 HRM853229 IBI853229 ILE853229 IVA853229 JEW853229 JOS853229 JYO853229 KIK853229 KSG853229 LCC853229 LLY853229 LVU853229 MFQ853229 MPM853229 MZI853229 NJE853229 NTA853229 OCW853229 OMS853229 OWO853229 PGK853229 PQG853229 QAC853229 QJY853229 QTU853229 RDQ853229 RNM853229 RXI853229 SHE853229 SRA853229 TAW853229 TKS853229 TUO853229 UEK853229 UOG853229 UYC853229 VHY853229 VRU853229 WBQ853229 WLM853229 WVI853229 A918765 IW918765 SS918765 ACO918765 AMK918765 AWG918765 BGC918765 BPY918765 BZU918765 CJQ918765 CTM918765 DDI918765 DNE918765 DXA918765 EGW918765 EQS918765 FAO918765 FKK918765 FUG918765 GEC918765 GNY918765 GXU918765 HHQ918765 HRM918765 IBI918765 ILE918765 IVA918765 JEW918765 JOS918765 JYO918765 KIK918765 KSG918765 LCC918765 LLY918765 LVU918765 MFQ918765 MPM918765 MZI918765 NJE918765 NTA918765 OCW918765 OMS918765 OWO918765 PGK918765 PQG918765 QAC918765 QJY918765 QTU918765 RDQ918765 RNM918765 RXI918765 SHE918765 SRA918765 TAW918765 TKS918765 TUO918765 UEK918765 UOG918765 UYC918765 VHY918765 VRU918765 WBQ918765 WLM918765 WVI918765 A984301 IW984301 SS984301 ACO984301 AMK984301 AWG984301 BGC984301 BPY984301 BZU984301 CJQ984301 CTM984301 DDI984301 DNE984301 DXA984301 EGW984301 EQS984301 FAO984301 FKK984301 FUG984301 GEC984301 GNY984301 GXU984301 HHQ984301 HRM984301 IBI984301 ILE984301 IVA984301 JEW984301 JOS984301 JYO984301 KIK984301 KSG984301 LCC984301 LLY984301 LVU984301 MFQ984301 MPM984301 MZI984301 NJE984301 NTA984301 OCW984301 OMS984301 OWO984301 PGK984301 PQG984301 QAC984301 QJY984301 QTU984301 RDQ984301 RNM984301 RXI984301 SHE984301 SRA984301 TAW984301 TKS984301 TUO984301 UEK984301 UOG984301 UYC984301 VHY984301 VRU984301 WBQ984301 WLM984301 WVI984301 UYC984318 IW1091 SS1091 ACO1091 AMK1091 AWG1091 BGC1091 BPY1091 BZU1091 CJQ1091 CTM1091 DDI1091 DNE1091 DXA1091 EGW1091 EQS1091 FAO1091 FKK1091 FUG1091 GEC1091 GNY1091 GXU1091 HHQ1091 HRM1091 IBI1091 ILE1091 IVA1091 JEW1091 JOS1091 JYO1091 KIK1091 KSG1091 LCC1091 LLY1091 LVU1091 MFQ1091 MPM1091 MZI1091 NJE1091 NTA1091 OCW1091 OMS1091 OWO1091 PGK1091 PQG1091 QAC1091 QJY1091 QTU1091 RDQ1091 RNM1091 RXI1091 SHE1091 SRA1091 TAW1091 TKS1091 TUO1091 UEK1091 UOG1091 UYC1091 VHY1091 VRU1091 WBQ1091 WLM1091 WVI1091 A66806 IW66806 SS66806 ACO66806 AMK66806 AWG66806 BGC66806 BPY66806 BZU66806 CJQ66806 CTM66806 DDI66806 DNE66806 DXA66806 EGW66806 EQS66806 FAO66806 FKK66806 FUG66806 GEC66806 GNY66806 GXU66806 HHQ66806 HRM66806 IBI66806 ILE66806 IVA66806 JEW66806 JOS66806 JYO66806 KIK66806 KSG66806 LCC66806 LLY66806 LVU66806 MFQ66806 MPM66806 MZI66806 NJE66806 NTA66806 OCW66806 OMS66806 OWO66806 PGK66806 PQG66806 QAC66806 QJY66806 QTU66806 RDQ66806 RNM66806 RXI66806 SHE66806 SRA66806 TAW66806 TKS66806 TUO66806 UEK66806 UOG66806 UYC66806 VHY66806 VRU66806 WBQ66806 WLM66806 WVI66806 A132342 IW132342 SS132342 ACO132342 AMK132342 AWG132342 BGC132342 BPY132342 BZU132342 CJQ132342 CTM132342 DDI132342 DNE132342 DXA132342 EGW132342 EQS132342 FAO132342 FKK132342 FUG132342 GEC132342 GNY132342 GXU132342 HHQ132342 HRM132342 IBI132342 ILE132342 IVA132342 JEW132342 JOS132342 JYO132342 KIK132342 KSG132342 LCC132342 LLY132342 LVU132342 MFQ132342 MPM132342 MZI132342 NJE132342 NTA132342 OCW132342 OMS132342 OWO132342 PGK132342 PQG132342 QAC132342 QJY132342 QTU132342 RDQ132342 RNM132342 RXI132342 SHE132342 SRA132342 TAW132342 TKS132342 TUO132342 UEK132342 UOG132342 UYC132342 VHY132342 VRU132342 WBQ132342 WLM132342 WVI132342 A197878 IW197878 SS197878 ACO197878 AMK197878 AWG197878 BGC197878 BPY197878 BZU197878 CJQ197878 CTM197878 DDI197878 DNE197878 DXA197878 EGW197878 EQS197878 FAO197878 FKK197878 FUG197878 GEC197878 GNY197878 GXU197878 HHQ197878 HRM197878 IBI197878 ILE197878 IVA197878 JEW197878 JOS197878 JYO197878 KIK197878 KSG197878 LCC197878 LLY197878 LVU197878 MFQ197878 MPM197878 MZI197878 NJE197878 NTA197878 OCW197878 OMS197878 OWO197878 PGK197878 PQG197878 QAC197878 QJY197878 QTU197878 RDQ197878 RNM197878 RXI197878 SHE197878 SRA197878 TAW197878 TKS197878 TUO197878 UEK197878 UOG197878 UYC197878 VHY197878 VRU197878 WBQ197878 WLM197878 WVI197878 A263414 IW263414 SS263414 ACO263414 AMK263414 AWG263414 BGC263414 BPY263414 BZU263414 CJQ263414 CTM263414 DDI263414 DNE263414 DXA263414 EGW263414 EQS263414 FAO263414 FKK263414 FUG263414 GEC263414 GNY263414 GXU263414 HHQ263414 HRM263414 IBI263414 ILE263414 IVA263414 JEW263414 JOS263414 JYO263414 KIK263414 KSG263414 LCC263414 LLY263414 LVU263414 MFQ263414 MPM263414 MZI263414 NJE263414 NTA263414 OCW263414 OMS263414 OWO263414 PGK263414 PQG263414 QAC263414 QJY263414 QTU263414 RDQ263414 RNM263414 RXI263414 SHE263414 SRA263414 TAW263414 TKS263414 TUO263414 UEK263414 UOG263414 UYC263414 VHY263414 VRU263414 WBQ263414 WLM263414 WVI263414 A328950 IW328950 SS328950 ACO328950 AMK328950 AWG328950 BGC328950 BPY328950 BZU328950 CJQ328950 CTM328950 DDI328950 DNE328950 DXA328950 EGW328950 EQS328950 FAO328950 FKK328950 FUG328950 GEC328950 GNY328950 GXU328950 HHQ328950 HRM328950 IBI328950 ILE328950 IVA328950 JEW328950 JOS328950 JYO328950 KIK328950 KSG328950 LCC328950 LLY328950 LVU328950 MFQ328950 MPM328950 MZI328950 NJE328950 NTA328950 OCW328950 OMS328950 OWO328950 PGK328950 PQG328950 QAC328950 QJY328950 QTU328950 RDQ328950 RNM328950 RXI328950 SHE328950 SRA328950 TAW328950 TKS328950 TUO328950 UEK328950 UOG328950 UYC328950 VHY328950 VRU328950 WBQ328950 WLM328950 WVI328950 A394486 IW394486 SS394486 ACO394486 AMK394486 AWG394486 BGC394486 BPY394486 BZU394486 CJQ394486 CTM394486 DDI394486 DNE394486 DXA394486 EGW394486 EQS394486 FAO394486 FKK394486 FUG394486 GEC394486 GNY394486 GXU394486 HHQ394486 HRM394486 IBI394486 ILE394486 IVA394486 JEW394486 JOS394486 JYO394486 KIK394486 KSG394486 LCC394486 LLY394486 LVU394486 MFQ394486 MPM394486 MZI394486 NJE394486 NTA394486 OCW394486 OMS394486 OWO394486 PGK394486 PQG394486 QAC394486 QJY394486 QTU394486 RDQ394486 RNM394486 RXI394486 SHE394486 SRA394486 TAW394486 TKS394486 TUO394486 UEK394486 UOG394486 UYC394486 VHY394486 VRU394486 WBQ394486 WLM394486 WVI394486 A460022 IW460022 SS460022 ACO460022 AMK460022 AWG460022 BGC460022 BPY460022 BZU460022 CJQ460022 CTM460022 DDI460022 DNE460022 DXA460022 EGW460022 EQS460022 FAO460022 FKK460022 FUG460022 GEC460022 GNY460022 GXU460022 HHQ460022 HRM460022 IBI460022 ILE460022 IVA460022 JEW460022 JOS460022 JYO460022 KIK460022 KSG460022 LCC460022 LLY460022 LVU460022 MFQ460022 MPM460022 MZI460022 NJE460022 NTA460022 OCW460022 OMS460022 OWO460022 PGK460022 PQG460022 QAC460022 QJY460022 QTU460022 RDQ460022 RNM460022 RXI460022 SHE460022 SRA460022 TAW460022 TKS460022 TUO460022 UEK460022 UOG460022 UYC460022 VHY460022 VRU460022 WBQ460022 WLM460022 WVI460022 A525558 IW525558 SS525558 ACO525558 AMK525558 AWG525558 BGC525558 BPY525558 BZU525558 CJQ525558 CTM525558 DDI525558 DNE525558 DXA525558 EGW525558 EQS525558 FAO525558 FKK525558 FUG525558 GEC525558 GNY525558 GXU525558 HHQ525558 HRM525558 IBI525558 ILE525558 IVA525558 JEW525558 JOS525558 JYO525558 KIK525558 KSG525558 LCC525558 LLY525558 LVU525558 MFQ525558 MPM525558 MZI525558 NJE525558 NTA525558 OCW525558 OMS525558 OWO525558 PGK525558 PQG525558 QAC525558 QJY525558 QTU525558 RDQ525558 RNM525558 RXI525558 SHE525558 SRA525558 TAW525558 TKS525558 TUO525558 UEK525558 UOG525558 UYC525558 VHY525558 VRU525558 WBQ525558 WLM525558 WVI525558 A591094 IW591094 SS591094 ACO591094 AMK591094 AWG591094 BGC591094 BPY591094 BZU591094 CJQ591094 CTM591094 DDI591094 DNE591094 DXA591094 EGW591094 EQS591094 FAO591094 FKK591094 FUG591094 GEC591094 GNY591094 GXU591094 HHQ591094 HRM591094 IBI591094 ILE591094 IVA591094 JEW591094 JOS591094 JYO591094 KIK591094 KSG591094 LCC591094 LLY591094 LVU591094 MFQ591094 MPM591094 MZI591094 NJE591094 NTA591094 OCW591094 OMS591094 OWO591094 PGK591094 PQG591094 QAC591094 QJY591094 QTU591094 RDQ591094 RNM591094 RXI591094 SHE591094 SRA591094 TAW591094 TKS591094 TUO591094 UEK591094 UOG591094 UYC591094 VHY591094 VRU591094 WBQ591094 WLM591094 WVI591094 A656630 IW656630 SS656630 ACO656630 AMK656630 AWG656630 BGC656630 BPY656630 BZU656630 CJQ656630 CTM656630 DDI656630 DNE656630 DXA656630 EGW656630 EQS656630 FAO656630 FKK656630 FUG656630 GEC656630 GNY656630 GXU656630 HHQ656630 HRM656630 IBI656630 ILE656630 IVA656630 JEW656630 JOS656630 JYO656630 KIK656630 KSG656630 LCC656630 LLY656630 LVU656630 MFQ656630 MPM656630 MZI656630 NJE656630 NTA656630 OCW656630 OMS656630 OWO656630 PGK656630 PQG656630 QAC656630 QJY656630 QTU656630 RDQ656630 RNM656630 RXI656630 SHE656630 SRA656630 TAW656630 TKS656630 TUO656630 UEK656630 UOG656630 UYC656630 VHY656630 VRU656630 WBQ656630 WLM656630 WVI656630 A722166 IW722166 SS722166 ACO722166 AMK722166 AWG722166 BGC722166 BPY722166 BZU722166 CJQ722166 CTM722166 DDI722166 DNE722166 DXA722166 EGW722166 EQS722166 FAO722166 FKK722166 FUG722166 GEC722166 GNY722166 GXU722166 HHQ722166 HRM722166 IBI722166 ILE722166 IVA722166 JEW722166 JOS722166 JYO722166 KIK722166 KSG722166 LCC722166 LLY722166 LVU722166 MFQ722166 MPM722166 MZI722166 NJE722166 NTA722166 OCW722166 OMS722166 OWO722166 PGK722166 PQG722166 QAC722166 QJY722166 QTU722166 RDQ722166 RNM722166 RXI722166 SHE722166 SRA722166 TAW722166 TKS722166 TUO722166 UEK722166 UOG722166 UYC722166 VHY722166 VRU722166 WBQ722166 WLM722166 WVI722166 A787702 IW787702 SS787702 ACO787702 AMK787702 AWG787702 BGC787702 BPY787702 BZU787702 CJQ787702 CTM787702 DDI787702 DNE787702 DXA787702 EGW787702 EQS787702 FAO787702 FKK787702 FUG787702 GEC787702 GNY787702 GXU787702 HHQ787702 HRM787702 IBI787702 ILE787702 IVA787702 JEW787702 JOS787702 JYO787702 KIK787702 KSG787702 LCC787702 LLY787702 LVU787702 MFQ787702 MPM787702 MZI787702 NJE787702 NTA787702 OCW787702 OMS787702 OWO787702 PGK787702 PQG787702 QAC787702 QJY787702 QTU787702 RDQ787702 RNM787702 RXI787702 SHE787702 SRA787702 TAW787702 TKS787702 TUO787702 UEK787702 UOG787702 UYC787702 VHY787702 VRU787702 WBQ787702 WLM787702 WVI787702 A853238 IW853238 SS853238 ACO853238 AMK853238 AWG853238 BGC853238 BPY853238 BZU853238 CJQ853238 CTM853238 DDI853238 DNE853238 DXA853238 EGW853238 EQS853238 FAO853238 FKK853238 FUG853238 GEC853238 GNY853238 GXU853238 HHQ853238 HRM853238 IBI853238 ILE853238 IVA853238 JEW853238 JOS853238 JYO853238 KIK853238 KSG853238 LCC853238 LLY853238 LVU853238 MFQ853238 MPM853238 MZI853238 NJE853238 NTA853238 OCW853238 OMS853238 OWO853238 PGK853238 PQG853238 QAC853238 QJY853238 QTU853238 RDQ853238 RNM853238 RXI853238 SHE853238 SRA853238 TAW853238 TKS853238 TUO853238 UEK853238 UOG853238 UYC853238 VHY853238 VRU853238 WBQ853238 WLM853238 WVI853238 A918774 IW918774 SS918774 ACO918774 AMK918774 AWG918774 BGC918774 BPY918774 BZU918774 CJQ918774 CTM918774 DDI918774 DNE918774 DXA918774 EGW918774 EQS918774 FAO918774 FKK918774 FUG918774 GEC918774 GNY918774 GXU918774 HHQ918774 HRM918774 IBI918774 ILE918774 IVA918774 JEW918774 JOS918774 JYO918774 KIK918774 KSG918774 LCC918774 LLY918774 LVU918774 MFQ918774 MPM918774 MZI918774 NJE918774 NTA918774 OCW918774 OMS918774 OWO918774 PGK918774 PQG918774 QAC918774 QJY918774 QTU918774 RDQ918774 RNM918774 RXI918774 SHE918774 SRA918774 TAW918774 TKS918774 TUO918774 UEK918774 UOG918774 UYC918774 VHY918774 VRU918774 WBQ918774 WLM918774 WVI918774 A984310 IW984310 SS984310 ACO984310 AMK984310 AWG984310 BGC984310 BPY984310 BZU984310 CJQ984310 CTM984310 DDI984310 DNE984310 DXA984310 EGW984310 EQS984310 FAO984310 FKK984310 FUG984310 GEC984310 GNY984310 GXU984310 HHQ984310 HRM984310 IBI984310 ILE984310 IVA984310 JEW984310 JOS984310 JYO984310 KIK984310 KSG984310 LCC984310 LLY984310 LVU984310 MFQ984310 MPM984310 MZI984310 NJE984310 NTA984310 OCW984310 OMS984310 OWO984310 PGK984310 PQG984310 QAC984310 QJY984310 QTU984310 RDQ984310 RNM984310 RXI984310 SHE984310 SRA984310 TAW984310 TKS984310 TUO984310 UEK984310 UOG984310 UYC984310 VHY984310 VRU984310 WBQ984310 WLM984310 WVI984310 UOG984318 IW1099 SS1099 ACO1099 AMK1099 AWG1099 BGC1099 BPY1099 BZU1099 CJQ1099 CTM1099 DDI1099 DNE1099 DXA1099 EGW1099 EQS1099 FAO1099 FKK1099 FUG1099 GEC1099 GNY1099 GXU1099 HHQ1099 HRM1099 IBI1099 ILE1099 IVA1099 JEW1099 JOS1099 JYO1099 KIK1099 KSG1099 LCC1099 LLY1099 LVU1099 MFQ1099 MPM1099 MZI1099 NJE1099 NTA1099 OCW1099 OMS1099 OWO1099 PGK1099 PQG1099 QAC1099 QJY1099 QTU1099 RDQ1099 RNM1099 RXI1099 SHE1099 SRA1099 TAW1099 TKS1099 TUO1099 UEK1099 UOG1099 UYC1099 VHY1099 VRU1099 WBQ1099 WLM1099 WVI1099 A66814 IW66814 SS66814 ACO66814 AMK66814 AWG66814 BGC66814 BPY66814 BZU66814 CJQ66814 CTM66814 DDI66814 DNE66814 DXA66814 EGW66814 EQS66814 FAO66814 FKK66814 FUG66814 GEC66814 GNY66814 GXU66814 HHQ66814 HRM66814 IBI66814 ILE66814 IVA66814 JEW66814 JOS66814 JYO66814 KIK66814 KSG66814 LCC66814 LLY66814 LVU66814 MFQ66814 MPM66814 MZI66814 NJE66814 NTA66814 OCW66814 OMS66814 OWO66814 PGK66814 PQG66814 QAC66814 QJY66814 QTU66814 RDQ66814 RNM66814 RXI66814 SHE66814 SRA66814 TAW66814 TKS66814 TUO66814 UEK66814 UOG66814 UYC66814 VHY66814 VRU66814 WBQ66814 WLM66814 WVI66814 A132350 IW132350 SS132350 ACO132350 AMK132350 AWG132350 BGC132350 BPY132350 BZU132350 CJQ132350 CTM132350 DDI132350 DNE132350 DXA132350 EGW132350 EQS132350 FAO132350 FKK132350 FUG132350 GEC132350 GNY132350 GXU132350 HHQ132350 HRM132350 IBI132350 ILE132350 IVA132350 JEW132350 JOS132350 JYO132350 KIK132350 KSG132350 LCC132350 LLY132350 LVU132350 MFQ132350 MPM132350 MZI132350 NJE132350 NTA132350 OCW132350 OMS132350 OWO132350 PGK132350 PQG132350 QAC132350 QJY132350 QTU132350 RDQ132350 RNM132350 RXI132350 SHE132350 SRA132350 TAW132350 TKS132350 TUO132350 UEK132350 UOG132350 UYC132350 VHY132350 VRU132350 WBQ132350 WLM132350 WVI132350 A197886 IW197886 SS197886 ACO197886 AMK197886 AWG197886 BGC197886 BPY197886 BZU197886 CJQ197886 CTM197886 DDI197886 DNE197886 DXA197886 EGW197886 EQS197886 FAO197886 FKK197886 FUG197886 GEC197886 GNY197886 GXU197886 HHQ197886 HRM197886 IBI197886 ILE197886 IVA197886 JEW197886 JOS197886 JYO197886 KIK197886 KSG197886 LCC197886 LLY197886 LVU197886 MFQ197886 MPM197886 MZI197886 NJE197886 NTA197886 OCW197886 OMS197886 OWO197886 PGK197886 PQG197886 QAC197886 QJY197886 QTU197886 RDQ197886 RNM197886 RXI197886 SHE197886 SRA197886 TAW197886 TKS197886 TUO197886 UEK197886 UOG197886 UYC197886 VHY197886 VRU197886 WBQ197886 WLM197886 WVI197886 A263422 IW263422 SS263422 ACO263422 AMK263422 AWG263422 BGC263422 BPY263422 BZU263422 CJQ263422 CTM263422 DDI263422 DNE263422 DXA263422 EGW263422 EQS263422 FAO263422 FKK263422 FUG263422 GEC263422 GNY263422 GXU263422 HHQ263422 HRM263422 IBI263422 ILE263422 IVA263422 JEW263422 JOS263422 JYO263422 KIK263422 KSG263422 LCC263422 LLY263422 LVU263422 MFQ263422 MPM263422 MZI263422 NJE263422 NTA263422 OCW263422 OMS263422 OWO263422 PGK263422 PQG263422 QAC263422 QJY263422 QTU263422 RDQ263422 RNM263422 RXI263422 SHE263422 SRA263422 TAW263422 TKS263422 TUO263422 UEK263422 UOG263422 UYC263422 VHY263422 VRU263422 WBQ263422 WLM263422 WVI263422 A328958 IW328958 SS328958 ACO328958 AMK328958 AWG328958 BGC328958 BPY328958 BZU328958 CJQ328958 CTM328958 DDI328958 DNE328958 DXA328958 EGW328958 EQS328958 FAO328958 FKK328958 FUG328958 GEC328958 GNY328958 GXU328958 HHQ328958 HRM328958 IBI328958 ILE328958 IVA328958 JEW328958 JOS328958 JYO328958 KIK328958 KSG328958 LCC328958 LLY328958 LVU328958 MFQ328958 MPM328958 MZI328958 NJE328958 NTA328958 OCW328958 OMS328958 OWO328958 PGK328958 PQG328958 QAC328958 QJY328958 QTU328958 RDQ328958 RNM328958 RXI328958 SHE328958 SRA328958 TAW328958 TKS328958 TUO328958 UEK328958 UOG328958 UYC328958 VHY328958 VRU328958 WBQ328958 WLM328958 WVI328958 A394494 IW394494 SS394494 ACO394494 AMK394494 AWG394494 BGC394494 BPY394494 BZU394494 CJQ394494 CTM394494 DDI394494 DNE394494 DXA394494 EGW394494 EQS394494 FAO394494 FKK394494 FUG394494 GEC394494 GNY394494 GXU394494 HHQ394494 HRM394494 IBI394494 ILE394494 IVA394494 JEW394494 JOS394494 JYO394494 KIK394494 KSG394494 LCC394494 LLY394494 LVU394494 MFQ394494 MPM394494 MZI394494 NJE394494 NTA394494 OCW394494 OMS394494 OWO394494 PGK394494 PQG394494 QAC394494 QJY394494 QTU394494 RDQ394494 RNM394494 RXI394494 SHE394494 SRA394494 TAW394494 TKS394494 TUO394494 UEK394494 UOG394494 UYC394494 VHY394494 VRU394494 WBQ394494 WLM394494 WVI394494 A460030 IW460030 SS460030 ACO460030 AMK460030 AWG460030 BGC460030 BPY460030 BZU460030 CJQ460030 CTM460030 DDI460030 DNE460030 DXA460030 EGW460030 EQS460030 FAO460030 FKK460030 FUG460030 GEC460030 GNY460030 GXU460030 HHQ460030 HRM460030 IBI460030 ILE460030 IVA460030 JEW460030 JOS460030 JYO460030 KIK460030 KSG460030 LCC460030 LLY460030 LVU460030 MFQ460030 MPM460030 MZI460030 NJE460030 NTA460030 OCW460030 OMS460030 OWO460030 PGK460030 PQG460030 QAC460030 QJY460030 QTU460030 RDQ460030 RNM460030 RXI460030 SHE460030 SRA460030 TAW460030 TKS460030 TUO460030 UEK460030 UOG460030 UYC460030 VHY460030 VRU460030 WBQ460030 WLM460030 WVI460030 A525566 IW525566 SS525566 ACO525566 AMK525566 AWG525566 BGC525566 BPY525566 BZU525566 CJQ525566 CTM525566 DDI525566 DNE525566 DXA525566 EGW525566 EQS525566 FAO525566 FKK525566 FUG525566 GEC525566 GNY525566 GXU525566 HHQ525566 HRM525566 IBI525566 ILE525566 IVA525566 JEW525566 JOS525566 JYO525566 KIK525566 KSG525566 LCC525566 LLY525566 LVU525566 MFQ525566 MPM525566 MZI525566 NJE525566 NTA525566 OCW525566 OMS525566 OWO525566 PGK525566 PQG525566 QAC525566 QJY525566 QTU525566 RDQ525566 RNM525566 RXI525566 SHE525566 SRA525566 TAW525566 TKS525566 TUO525566 UEK525566 UOG525566 UYC525566 VHY525566 VRU525566 WBQ525566 WLM525566 WVI525566 A591102 IW591102 SS591102 ACO591102 AMK591102 AWG591102 BGC591102 BPY591102 BZU591102 CJQ591102 CTM591102 DDI591102 DNE591102 DXA591102 EGW591102 EQS591102 FAO591102 FKK591102 FUG591102 GEC591102 GNY591102 GXU591102 HHQ591102 HRM591102 IBI591102 ILE591102 IVA591102 JEW591102 JOS591102 JYO591102 KIK591102 KSG591102 LCC591102 LLY591102 LVU591102 MFQ591102 MPM591102 MZI591102 NJE591102 NTA591102 OCW591102 OMS591102 OWO591102 PGK591102 PQG591102 QAC591102 QJY591102 QTU591102 RDQ591102 RNM591102 RXI591102 SHE591102 SRA591102 TAW591102 TKS591102 TUO591102 UEK591102 UOG591102 UYC591102 VHY591102 VRU591102 WBQ591102 WLM591102 WVI591102 A656638 IW656638 SS656638 ACO656638 AMK656638 AWG656638 BGC656638 BPY656638 BZU656638 CJQ656638 CTM656638 DDI656638 DNE656638 DXA656638 EGW656638 EQS656638 FAO656638 FKK656638 FUG656638 GEC656638 GNY656638 GXU656638 HHQ656638 HRM656638 IBI656638 ILE656638 IVA656638 JEW656638 JOS656638 JYO656638 KIK656638 KSG656638 LCC656638 LLY656638 LVU656638 MFQ656638 MPM656638 MZI656638 NJE656638 NTA656638 OCW656638 OMS656638 OWO656638 PGK656638 PQG656638 QAC656638 QJY656638 QTU656638 RDQ656638 RNM656638 RXI656638 SHE656638 SRA656638 TAW656638 TKS656638 TUO656638 UEK656638 UOG656638 UYC656638 VHY656638 VRU656638 WBQ656638 WLM656638 WVI656638 A722174 IW722174 SS722174 ACO722174 AMK722174 AWG722174 BGC722174 BPY722174 BZU722174 CJQ722174 CTM722174 DDI722174 DNE722174 DXA722174 EGW722174 EQS722174 FAO722174 FKK722174 FUG722174 GEC722174 GNY722174 GXU722174 HHQ722174 HRM722174 IBI722174 ILE722174 IVA722174 JEW722174 JOS722174 JYO722174 KIK722174 KSG722174 LCC722174 LLY722174 LVU722174 MFQ722174 MPM722174 MZI722174 NJE722174 NTA722174 OCW722174 OMS722174 OWO722174 PGK722174 PQG722174 QAC722174 QJY722174 QTU722174 RDQ722174 RNM722174 RXI722174 SHE722174 SRA722174 TAW722174 TKS722174 TUO722174 UEK722174 UOG722174 UYC722174 VHY722174 VRU722174 WBQ722174 WLM722174 WVI722174 A787710 IW787710 SS787710 ACO787710 AMK787710 AWG787710 BGC787710 BPY787710 BZU787710 CJQ787710 CTM787710 DDI787710 DNE787710 DXA787710 EGW787710 EQS787710 FAO787710 FKK787710 FUG787710 GEC787710 GNY787710 GXU787710 HHQ787710 HRM787710 IBI787710 ILE787710 IVA787710 JEW787710 JOS787710 JYO787710 KIK787710 KSG787710 LCC787710 LLY787710 LVU787710 MFQ787710 MPM787710 MZI787710 NJE787710 NTA787710 OCW787710 OMS787710 OWO787710 PGK787710 PQG787710 QAC787710 QJY787710 QTU787710 RDQ787710 RNM787710 RXI787710 SHE787710 SRA787710 TAW787710 TKS787710 TUO787710 UEK787710 UOG787710 UYC787710 VHY787710 VRU787710 WBQ787710 WLM787710 WVI787710 A853246 IW853246 SS853246 ACO853246 AMK853246 AWG853246 BGC853246 BPY853246 BZU853246 CJQ853246 CTM853246 DDI853246 DNE853246 DXA853246 EGW853246 EQS853246 FAO853246 FKK853246 FUG853246 GEC853246 GNY853246 GXU853246 HHQ853246 HRM853246 IBI853246 ILE853246 IVA853246 JEW853246 JOS853246 JYO853246 KIK853246 KSG853246 LCC853246 LLY853246 LVU853246 MFQ853246 MPM853246 MZI853246 NJE853246 NTA853246 OCW853246 OMS853246 OWO853246 PGK853246 PQG853246 QAC853246 QJY853246 QTU853246 RDQ853246 RNM853246 RXI853246 SHE853246 SRA853246 TAW853246 TKS853246 TUO853246 UEK853246 UOG853246 UYC853246 VHY853246 VRU853246 WBQ853246 WLM853246 WVI853246 A918782 IW918782 SS918782 ACO918782 AMK918782 AWG918782 BGC918782 BPY918782 BZU918782 CJQ918782 CTM918782 DDI918782 DNE918782 DXA918782 EGW918782 EQS918782 FAO918782 FKK918782 FUG918782 GEC918782 GNY918782 GXU918782 HHQ918782 HRM918782 IBI918782 ILE918782 IVA918782 JEW918782 JOS918782 JYO918782 KIK918782 KSG918782 LCC918782 LLY918782 LVU918782 MFQ918782 MPM918782 MZI918782 NJE918782 NTA918782 OCW918782 OMS918782 OWO918782 PGK918782 PQG918782 QAC918782 QJY918782 QTU918782 RDQ918782 RNM918782 RXI918782 SHE918782 SRA918782 TAW918782 TKS918782 TUO918782 UEK918782 UOG918782 UYC918782 VHY918782 VRU918782 WBQ918782 WLM918782 WVI918782 A984318 IW984318 SS984318 ACO984318 AMK984318 AWG984318 BGC984318 BPY984318 BZU984318 CJQ984318 CTM984318 DDI984318 DNE984318 DXA984318 EGW984318 EQS984318 FAO984318 FKK984318 FUG984318 GEC984318 GNY984318 GXU984318 HHQ984318 HRM984318 IBI984318 ILE984318 IVA984318 JEW984318 JOS984318 JYO984318 KIK984318 KSG984318 LCC984318 LLY984318 LVU984318 MFQ984318 MPM984318 MZI984318 NJE984318 NTA984318 OCW984318 OMS984318 OWO984318 PGK984318 PQG984318 QAC984318 QJY984318 QTU984318 RDQ984318 RNM984318 RXI984318 SHE984318 SRA984318 TAW984318 TKS984318 TUO984318 UEK984318" xr:uid="{00000000-0002-0000-0100-000002000000}">
      <formula1>$A$228:$A$230</formula1>
    </dataValidation>
    <dataValidation type="list" allowBlank="1" showInputMessage="1" showErrorMessage="1" sqref="E791 JA791 SW791 ACS791 AMO791 AWK791 BGG791 BQC791 BZY791 CJU791 CTQ791 DDM791 DNI791 DXE791 EHA791 EQW791 FAS791 FKO791 FUK791 GEG791 GOC791 GXY791 HHU791 HRQ791 IBM791 ILI791 IVE791 JFA791 JOW791 JYS791 KIO791 KSK791 LCG791 LMC791 LVY791 MFU791 MPQ791 MZM791 NJI791 NTE791 ODA791 OMW791 OWS791 PGO791 PQK791 QAG791 QKC791 QTY791 RDU791 RNQ791 RXM791 SHI791 SRE791 TBA791 TKW791 TUS791 UEO791 UOK791 UYG791 VIC791 VRY791 WBU791 WLQ791 WVM791 E66044 JA66044 SW66044 ACS66044 AMO66044 AWK66044 BGG66044 BQC66044 BZY66044 CJU66044 CTQ66044 DDM66044 DNI66044 DXE66044 EHA66044 EQW66044 FAS66044 FKO66044 FUK66044 GEG66044 GOC66044 GXY66044 HHU66044 HRQ66044 IBM66044 ILI66044 IVE66044 JFA66044 JOW66044 JYS66044 KIO66044 KSK66044 LCG66044 LMC66044 LVY66044 MFU66044 MPQ66044 MZM66044 NJI66044 NTE66044 ODA66044 OMW66044 OWS66044 PGO66044 PQK66044 QAG66044 QKC66044 QTY66044 RDU66044 RNQ66044 RXM66044 SHI66044 SRE66044 TBA66044 TKW66044 TUS66044 UEO66044 UOK66044 UYG66044 VIC66044 VRY66044 WBU66044 WLQ66044 WVM66044 E131580 JA131580 SW131580 ACS131580 AMO131580 AWK131580 BGG131580 BQC131580 BZY131580 CJU131580 CTQ131580 DDM131580 DNI131580 DXE131580 EHA131580 EQW131580 FAS131580 FKO131580 FUK131580 GEG131580 GOC131580 GXY131580 HHU131580 HRQ131580 IBM131580 ILI131580 IVE131580 JFA131580 JOW131580 JYS131580 KIO131580 KSK131580 LCG131580 LMC131580 LVY131580 MFU131580 MPQ131580 MZM131580 NJI131580 NTE131580 ODA131580 OMW131580 OWS131580 PGO131580 PQK131580 QAG131580 QKC131580 QTY131580 RDU131580 RNQ131580 RXM131580 SHI131580 SRE131580 TBA131580 TKW131580 TUS131580 UEO131580 UOK131580 UYG131580 VIC131580 VRY131580 WBU131580 WLQ131580 WVM131580 E197116 JA197116 SW197116 ACS197116 AMO197116 AWK197116 BGG197116 BQC197116 BZY197116 CJU197116 CTQ197116 DDM197116 DNI197116 DXE197116 EHA197116 EQW197116 FAS197116 FKO197116 FUK197116 GEG197116 GOC197116 GXY197116 HHU197116 HRQ197116 IBM197116 ILI197116 IVE197116 JFA197116 JOW197116 JYS197116 KIO197116 KSK197116 LCG197116 LMC197116 LVY197116 MFU197116 MPQ197116 MZM197116 NJI197116 NTE197116 ODA197116 OMW197116 OWS197116 PGO197116 PQK197116 QAG197116 QKC197116 QTY197116 RDU197116 RNQ197116 RXM197116 SHI197116 SRE197116 TBA197116 TKW197116 TUS197116 UEO197116 UOK197116 UYG197116 VIC197116 VRY197116 WBU197116 WLQ197116 WVM197116 E262652 JA262652 SW262652 ACS262652 AMO262652 AWK262652 BGG262652 BQC262652 BZY262652 CJU262652 CTQ262652 DDM262652 DNI262652 DXE262652 EHA262652 EQW262652 FAS262652 FKO262652 FUK262652 GEG262652 GOC262652 GXY262652 HHU262652 HRQ262652 IBM262652 ILI262652 IVE262652 JFA262652 JOW262652 JYS262652 KIO262652 KSK262652 LCG262652 LMC262652 LVY262652 MFU262652 MPQ262652 MZM262652 NJI262652 NTE262652 ODA262652 OMW262652 OWS262652 PGO262652 PQK262652 QAG262652 QKC262652 QTY262652 RDU262652 RNQ262652 RXM262652 SHI262652 SRE262652 TBA262652 TKW262652 TUS262652 UEO262652 UOK262652 UYG262652 VIC262652 VRY262652 WBU262652 WLQ262652 WVM262652 E328188 JA328188 SW328188 ACS328188 AMO328188 AWK328188 BGG328188 BQC328188 BZY328188 CJU328188 CTQ328188 DDM328188 DNI328188 DXE328188 EHA328188 EQW328188 FAS328188 FKO328188 FUK328188 GEG328188 GOC328188 GXY328188 HHU328188 HRQ328188 IBM328188 ILI328188 IVE328188 JFA328188 JOW328188 JYS328188 KIO328188 KSK328188 LCG328188 LMC328188 LVY328188 MFU328188 MPQ328188 MZM328188 NJI328188 NTE328188 ODA328188 OMW328188 OWS328188 PGO328188 PQK328188 QAG328188 QKC328188 QTY328188 RDU328188 RNQ328188 RXM328188 SHI328188 SRE328188 TBA328188 TKW328188 TUS328188 UEO328188 UOK328188 UYG328188 VIC328188 VRY328188 WBU328188 WLQ328188 WVM328188 E393724 JA393724 SW393724 ACS393724 AMO393724 AWK393724 BGG393724 BQC393724 BZY393724 CJU393724 CTQ393724 DDM393724 DNI393724 DXE393724 EHA393724 EQW393724 FAS393724 FKO393724 FUK393724 GEG393724 GOC393724 GXY393724 HHU393724 HRQ393724 IBM393724 ILI393724 IVE393724 JFA393724 JOW393724 JYS393724 KIO393724 KSK393724 LCG393724 LMC393724 LVY393724 MFU393724 MPQ393724 MZM393724 NJI393724 NTE393724 ODA393724 OMW393724 OWS393724 PGO393724 PQK393724 QAG393724 QKC393724 QTY393724 RDU393724 RNQ393724 RXM393724 SHI393724 SRE393724 TBA393724 TKW393724 TUS393724 UEO393724 UOK393724 UYG393724 VIC393724 VRY393724 WBU393724 WLQ393724 WVM393724 E459260 JA459260 SW459260 ACS459260 AMO459260 AWK459260 BGG459260 BQC459260 BZY459260 CJU459260 CTQ459260 DDM459260 DNI459260 DXE459260 EHA459260 EQW459260 FAS459260 FKO459260 FUK459260 GEG459260 GOC459260 GXY459260 HHU459260 HRQ459260 IBM459260 ILI459260 IVE459260 JFA459260 JOW459260 JYS459260 KIO459260 KSK459260 LCG459260 LMC459260 LVY459260 MFU459260 MPQ459260 MZM459260 NJI459260 NTE459260 ODA459260 OMW459260 OWS459260 PGO459260 PQK459260 QAG459260 QKC459260 QTY459260 RDU459260 RNQ459260 RXM459260 SHI459260 SRE459260 TBA459260 TKW459260 TUS459260 UEO459260 UOK459260 UYG459260 VIC459260 VRY459260 WBU459260 WLQ459260 WVM459260 E524796 JA524796 SW524796 ACS524796 AMO524796 AWK524796 BGG524796 BQC524796 BZY524796 CJU524796 CTQ524796 DDM524796 DNI524796 DXE524796 EHA524796 EQW524796 FAS524796 FKO524796 FUK524796 GEG524796 GOC524796 GXY524796 HHU524796 HRQ524796 IBM524796 ILI524796 IVE524796 JFA524796 JOW524796 JYS524796 KIO524796 KSK524796 LCG524796 LMC524796 LVY524796 MFU524796 MPQ524796 MZM524796 NJI524796 NTE524796 ODA524796 OMW524796 OWS524796 PGO524796 PQK524796 QAG524796 QKC524796 QTY524796 RDU524796 RNQ524796 RXM524796 SHI524796 SRE524796 TBA524796 TKW524796 TUS524796 UEO524796 UOK524796 UYG524796 VIC524796 VRY524796 WBU524796 WLQ524796 WVM524796 E590332 JA590332 SW590332 ACS590332 AMO590332 AWK590332 BGG590332 BQC590332 BZY590332 CJU590332 CTQ590332 DDM590332 DNI590332 DXE590332 EHA590332 EQW590332 FAS590332 FKO590332 FUK590332 GEG590332 GOC590332 GXY590332 HHU590332 HRQ590332 IBM590332 ILI590332 IVE590332 JFA590332 JOW590332 JYS590332 KIO590332 KSK590332 LCG590332 LMC590332 LVY590332 MFU590332 MPQ590332 MZM590332 NJI590332 NTE590332 ODA590332 OMW590332 OWS590332 PGO590332 PQK590332 QAG590332 QKC590332 QTY590332 RDU590332 RNQ590332 RXM590332 SHI590332 SRE590332 TBA590332 TKW590332 TUS590332 UEO590332 UOK590332 UYG590332 VIC590332 VRY590332 WBU590332 WLQ590332 WVM590332 E655868 JA655868 SW655868 ACS655868 AMO655868 AWK655868 BGG655868 BQC655868 BZY655868 CJU655868 CTQ655868 DDM655868 DNI655868 DXE655868 EHA655868 EQW655868 FAS655868 FKO655868 FUK655868 GEG655868 GOC655868 GXY655868 HHU655868 HRQ655868 IBM655868 ILI655868 IVE655868 JFA655868 JOW655868 JYS655868 KIO655868 KSK655868 LCG655868 LMC655868 LVY655868 MFU655868 MPQ655868 MZM655868 NJI655868 NTE655868 ODA655868 OMW655868 OWS655868 PGO655868 PQK655868 QAG655868 QKC655868 QTY655868 RDU655868 RNQ655868 RXM655868 SHI655868 SRE655868 TBA655868 TKW655868 TUS655868 UEO655868 UOK655868 UYG655868 VIC655868 VRY655868 WBU655868 WLQ655868 WVM655868 E721404 JA721404 SW721404 ACS721404 AMO721404 AWK721404 BGG721404 BQC721404 BZY721404 CJU721404 CTQ721404 DDM721404 DNI721404 DXE721404 EHA721404 EQW721404 FAS721404 FKO721404 FUK721404 GEG721404 GOC721404 GXY721404 HHU721404 HRQ721404 IBM721404 ILI721404 IVE721404 JFA721404 JOW721404 JYS721404 KIO721404 KSK721404 LCG721404 LMC721404 LVY721404 MFU721404 MPQ721404 MZM721404 NJI721404 NTE721404 ODA721404 OMW721404 OWS721404 PGO721404 PQK721404 QAG721404 QKC721404 QTY721404 RDU721404 RNQ721404 RXM721404 SHI721404 SRE721404 TBA721404 TKW721404 TUS721404 UEO721404 UOK721404 UYG721404 VIC721404 VRY721404 WBU721404 WLQ721404 WVM721404 E786940 JA786940 SW786940 ACS786940 AMO786940 AWK786940 BGG786940 BQC786940 BZY786940 CJU786940 CTQ786940 DDM786940 DNI786940 DXE786940 EHA786940 EQW786940 FAS786940 FKO786940 FUK786940 GEG786940 GOC786940 GXY786940 HHU786940 HRQ786940 IBM786940 ILI786940 IVE786940 JFA786940 JOW786940 JYS786940 KIO786940 KSK786940 LCG786940 LMC786940 LVY786940 MFU786940 MPQ786940 MZM786940 NJI786940 NTE786940 ODA786940 OMW786940 OWS786940 PGO786940 PQK786940 QAG786940 QKC786940 QTY786940 RDU786940 RNQ786940 RXM786940 SHI786940 SRE786940 TBA786940 TKW786940 TUS786940 UEO786940 UOK786940 UYG786940 VIC786940 VRY786940 WBU786940 WLQ786940 WVM786940 E852476 JA852476 SW852476 ACS852476 AMO852476 AWK852476 BGG852476 BQC852476 BZY852476 CJU852476 CTQ852476 DDM852476 DNI852476 DXE852476 EHA852476 EQW852476 FAS852476 FKO852476 FUK852476 GEG852476 GOC852476 GXY852476 HHU852476 HRQ852476 IBM852476 ILI852476 IVE852476 JFA852476 JOW852476 JYS852476 KIO852476 KSK852476 LCG852476 LMC852476 LVY852476 MFU852476 MPQ852476 MZM852476 NJI852476 NTE852476 ODA852476 OMW852476 OWS852476 PGO852476 PQK852476 QAG852476 QKC852476 QTY852476 RDU852476 RNQ852476 RXM852476 SHI852476 SRE852476 TBA852476 TKW852476 TUS852476 UEO852476 UOK852476 UYG852476 VIC852476 VRY852476 WBU852476 WLQ852476 WVM852476 E918012 JA918012 SW918012 ACS918012 AMO918012 AWK918012 BGG918012 BQC918012 BZY918012 CJU918012 CTQ918012 DDM918012 DNI918012 DXE918012 EHA918012 EQW918012 FAS918012 FKO918012 FUK918012 GEG918012 GOC918012 GXY918012 HHU918012 HRQ918012 IBM918012 ILI918012 IVE918012 JFA918012 JOW918012 JYS918012 KIO918012 KSK918012 LCG918012 LMC918012 LVY918012 MFU918012 MPQ918012 MZM918012 NJI918012 NTE918012 ODA918012 OMW918012 OWS918012 PGO918012 PQK918012 QAG918012 QKC918012 QTY918012 RDU918012 RNQ918012 RXM918012 SHI918012 SRE918012 TBA918012 TKW918012 TUS918012 UEO918012 UOK918012 UYG918012 VIC918012 VRY918012 WBU918012 WLQ918012 WVM918012 E983548 JA983548 SW983548 ACS983548 AMO983548 AWK983548 BGG983548 BQC983548 BZY983548 CJU983548 CTQ983548 DDM983548 DNI983548 DXE983548 EHA983548 EQW983548 FAS983548 FKO983548 FUK983548 GEG983548 GOC983548 GXY983548 HHU983548 HRQ983548 IBM983548 ILI983548 IVE983548 JFA983548 JOW983548 JYS983548 KIO983548 KSK983548 LCG983548 LMC983548 LVY983548 MFU983548 MPQ983548 MZM983548 NJI983548 NTE983548 ODA983548 OMW983548 OWS983548 PGO983548 PQK983548 QAG983548 QKC983548 QTY983548 RDU983548 RNQ983548 RXM983548 SHI983548 SRE983548 TBA983548 TKW983548 TUS983548 UEO983548 UOK983548 UYG983548 VIC983548 VRY983548 WBU983548 WLQ983548 WVM983548" xr:uid="{00000000-0002-0000-0100-000003000000}">
      <formula1>$W$794:$W$795</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4919 IX64919 ST64919 ACP64919 AML64919 AWH64919 BGD64919 BPZ64919 BZV64919 CJR64919 CTN64919 DDJ64919 DNF64919 DXB64919 EGX64919 EQT64919 FAP64919 FKL64919 FUH64919 GED64919 GNZ64919 GXV64919 HHR64919 HRN64919 IBJ64919 ILF64919 IVB64919 JEX64919 JOT64919 JYP64919 KIL64919 KSH64919 LCD64919 LLZ64919 LVV64919 MFR64919 MPN64919 MZJ64919 NJF64919 NTB64919 OCX64919 OMT64919 OWP64919 PGL64919 PQH64919 QAD64919 QJZ64919 QTV64919 RDR64919 RNN64919 RXJ64919 SHF64919 SRB64919 TAX64919 TKT64919 TUP64919 UEL64919 UOH64919 UYD64919 VHZ64919 VRV64919 WBR64919 WLN64919 WVJ64919 B130455 IX130455 ST130455 ACP130455 AML130455 AWH130455 BGD130455 BPZ130455 BZV130455 CJR130455 CTN130455 DDJ130455 DNF130455 DXB130455 EGX130455 EQT130455 FAP130455 FKL130455 FUH130455 GED130455 GNZ130455 GXV130455 HHR130455 HRN130455 IBJ130455 ILF130455 IVB130455 JEX130455 JOT130455 JYP130455 KIL130455 KSH130455 LCD130455 LLZ130455 LVV130455 MFR130455 MPN130455 MZJ130455 NJF130455 NTB130455 OCX130455 OMT130455 OWP130455 PGL130455 PQH130455 QAD130455 QJZ130455 QTV130455 RDR130455 RNN130455 RXJ130455 SHF130455 SRB130455 TAX130455 TKT130455 TUP130455 UEL130455 UOH130455 UYD130455 VHZ130455 VRV130455 WBR130455 WLN130455 WVJ130455 B195991 IX195991 ST195991 ACP195991 AML195991 AWH195991 BGD195991 BPZ195991 BZV195991 CJR195991 CTN195991 DDJ195991 DNF195991 DXB195991 EGX195991 EQT195991 FAP195991 FKL195991 FUH195991 GED195991 GNZ195991 GXV195991 HHR195991 HRN195991 IBJ195991 ILF195991 IVB195991 JEX195991 JOT195991 JYP195991 KIL195991 KSH195991 LCD195991 LLZ195991 LVV195991 MFR195991 MPN195991 MZJ195991 NJF195991 NTB195991 OCX195991 OMT195991 OWP195991 PGL195991 PQH195991 QAD195991 QJZ195991 QTV195991 RDR195991 RNN195991 RXJ195991 SHF195991 SRB195991 TAX195991 TKT195991 TUP195991 UEL195991 UOH195991 UYD195991 VHZ195991 VRV195991 WBR195991 WLN195991 WVJ195991 B261527 IX261527 ST261527 ACP261527 AML261527 AWH261527 BGD261527 BPZ261527 BZV261527 CJR261527 CTN261527 DDJ261527 DNF261527 DXB261527 EGX261527 EQT261527 FAP261527 FKL261527 FUH261527 GED261527 GNZ261527 GXV261527 HHR261527 HRN261527 IBJ261527 ILF261527 IVB261527 JEX261527 JOT261527 JYP261527 KIL261527 KSH261527 LCD261527 LLZ261527 LVV261527 MFR261527 MPN261527 MZJ261527 NJF261527 NTB261527 OCX261527 OMT261527 OWP261527 PGL261527 PQH261527 QAD261527 QJZ261527 QTV261527 RDR261527 RNN261527 RXJ261527 SHF261527 SRB261527 TAX261527 TKT261527 TUP261527 UEL261527 UOH261527 UYD261527 VHZ261527 VRV261527 WBR261527 WLN261527 WVJ261527 B327063 IX327063 ST327063 ACP327063 AML327063 AWH327063 BGD327063 BPZ327063 BZV327063 CJR327063 CTN327063 DDJ327063 DNF327063 DXB327063 EGX327063 EQT327063 FAP327063 FKL327063 FUH327063 GED327063 GNZ327063 GXV327063 HHR327063 HRN327063 IBJ327063 ILF327063 IVB327063 JEX327063 JOT327063 JYP327063 KIL327063 KSH327063 LCD327063 LLZ327063 LVV327063 MFR327063 MPN327063 MZJ327063 NJF327063 NTB327063 OCX327063 OMT327063 OWP327063 PGL327063 PQH327063 QAD327063 QJZ327063 QTV327063 RDR327063 RNN327063 RXJ327063 SHF327063 SRB327063 TAX327063 TKT327063 TUP327063 UEL327063 UOH327063 UYD327063 VHZ327063 VRV327063 WBR327063 WLN327063 WVJ327063 B392599 IX392599 ST392599 ACP392599 AML392599 AWH392599 BGD392599 BPZ392599 BZV392599 CJR392599 CTN392599 DDJ392599 DNF392599 DXB392599 EGX392599 EQT392599 FAP392599 FKL392599 FUH392599 GED392599 GNZ392599 GXV392599 HHR392599 HRN392599 IBJ392599 ILF392599 IVB392599 JEX392599 JOT392599 JYP392599 KIL392599 KSH392599 LCD392599 LLZ392599 LVV392599 MFR392599 MPN392599 MZJ392599 NJF392599 NTB392599 OCX392599 OMT392599 OWP392599 PGL392599 PQH392599 QAD392599 QJZ392599 QTV392599 RDR392599 RNN392599 RXJ392599 SHF392599 SRB392599 TAX392599 TKT392599 TUP392599 UEL392599 UOH392599 UYD392599 VHZ392599 VRV392599 WBR392599 WLN392599 WVJ392599 B458135 IX458135 ST458135 ACP458135 AML458135 AWH458135 BGD458135 BPZ458135 BZV458135 CJR458135 CTN458135 DDJ458135 DNF458135 DXB458135 EGX458135 EQT458135 FAP458135 FKL458135 FUH458135 GED458135 GNZ458135 GXV458135 HHR458135 HRN458135 IBJ458135 ILF458135 IVB458135 JEX458135 JOT458135 JYP458135 KIL458135 KSH458135 LCD458135 LLZ458135 LVV458135 MFR458135 MPN458135 MZJ458135 NJF458135 NTB458135 OCX458135 OMT458135 OWP458135 PGL458135 PQH458135 QAD458135 QJZ458135 QTV458135 RDR458135 RNN458135 RXJ458135 SHF458135 SRB458135 TAX458135 TKT458135 TUP458135 UEL458135 UOH458135 UYD458135 VHZ458135 VRV458135 WBR458135 WLN458135 WVJ458135 B523671 IX523671 ST523671 ACP523671 AML523671 AWH523671 BGD523671 BPZ523671 BZV523671 CJR523671 CTN523671 DDJ523671 DNF523671 DXB523671 EGX523671 EQT523671 FAP523671 FKL523671 FUH523671 GED523671 GNZ523671 GXV523671 HHR523671 HRN523671 IBJ523671 ILF523671 IVB523671 JEX523671 JOT523671 JYP523671 KIL523671 KSH523671 LCD523671 LLZ523671 LVV523671 MFR523671 MPN523671 MZJ523671 NJF523671 NTB523671 OCX523671 OMT523671 OWP523671 PGL523671 PQH523671 QAD523671 QJZ523671 QTV523671 RDR523671 RNN523671 RXJ523671 SHF523671 SRB523671 TAX523671 TKT523671 TUP523671 UEL523671 UOH523671 UYD523671 VHZ523671 VRV523671 WBR523671 WLN523671 WVJ523671 B589207 IX589207 ST589207 ACP589207 AML589207 AWH589207 BGD589207 BPZ589207 BZV589207 CJR589207 CTN589207 DDJ589207 DNF589207 DXB589207 EGX589207 EQT589207 FAP589207 FKL589207 FUH589207 GED589207 GNZ589207 GXV589207 HHR589207 HRN589207 IBJ589207 ILF589207 IVB589207 JEX589207 JOT589207 JYP589207 KIL589207 KSH589207 LCD589207 LLZ589207 LVV589207 MFR589207 MPN589207 MZJ589207 NJF589207 NTB589207 OCX589207 OMT589207 OWP589207 PGL589207 PQH589207 QAD589207 QJZ589207 QTV589207 RDR589207 RNN589207 RXJ589207 SHF589207 SRB589207 TAX589207 TKT589207 TUP589207 UEL589207 UOH589207 UYD589207 VHZ589207 VRV589207 WBR589207 WLN589207 WVJ589207 B654743 IX654743 ST654743 ACP654743 AML654743 AWH654743 BGD654743 BPZ654743 BZV654743 CJR654743 CTN654743 DDJ654743 DNF654743 DXB654743 EGX654743 EQT654743 FAP654743 FKL654743 FUH654743 GED654743 GNZ654743 GXV654743 HHR654743 HRN654743 IBJ654743 ILF654743 IVB654743 JEX654743 JOT654743 JYP654743 KIL654743 KSH654743 LCD654743 LLZ654743 LVV654743 MFR654743 MPN654743 MZJ654743 NJF654743 NTB654743 OCX654743 OMT654743 OWP654743 PGL654743 PQH654743 QAD654743 QJZ654743 QTV654743 RDR654743 RNN654743 RXJ654743 SHF654743 SRB654743 TAX654743 TKT654743 TUP654743 UEL654743 UOH654743 UYD654743 VHZ654743 VRV654743 WBR654743 WLN654743 WVJ654743 B720279 IX720279 ST720279 ACP720279 AML720279 AWH720279 BGD720279 BPZ720279 BZV720279 CJR720279 CTN720279 DDJ720279 DNF720279 DXB720279 EGX720279 EQT720279 FAP720279 FKL720279 FUH720279 GED720279 GNZ720279 GXV720279 HHR720279 HRN720279 IBJ720279 ILF720279 IVB720279 JEX720279 JOT720279 JYP720279 KIL720279 KSH720279 LCD720279 LLZ720279 LVV720279 MFR720279 MPN720279 MZJ720279 NJF720279 NTB720279 OCX720279 OMT720279 OWP720279 PGL720279 PQH720279 QAD720279 QJZ720279 QTV720279 RDR720279 RNN720279 RXJ720279 SHF720279 SRB720279 TAX720279 TKT720279 TUP720279 UEL720279 UOH720279 UYD720279 VHZ720279 VRV720279 WBR720279 WLN720279 WVJ720279 B785815 IX785815 ST785815 ACP785815 AML785815 AWH785815 BGD785815 BPZ785815 BZV785815 CJR785815 CTN785815 DDJ785815 DNF785815 DXB785815 EGX785815 EQT785815 FAP785815 FKL785815 FUH785815 GED785815 GNZ785815 GXV785815 HHR785815 HRN785815 IBJ785815 ILF785815 IVB785815 JEX785815 JOT785815 JYP785815 KIL785815 KSH785815 LCD785815 LLZ785815 LVV785815 MFR785815 MPN785815 MZJ785815 NJF785815 NTB785815 OCX785815 OMT785815 OWP785815 PGL785815 PQH785815 QAD785815 QJZ785815 QTV785815 RDR785815 RNN785815 RXJ785815 SHF785815 SRB785815 TAX785815 TKT785815 TUP785815 UEL785815 UOH785815 UYD785815 VHZ785815 VRV785815 WBR785815 WLN785815 WVJ785815 B851351 IX851351 ST851351 ACP851351 AML851351 AWH851351 BGD851351 BPZ851351 BZV851351 CJR851351 CTN851351 DDJ851351 DNF851351 DXB851351 EGX851351 EQT851351 FAP851351 FKL851351 FUH851351 GED851351 GNZ851351 GXV851351 HHR851351 HRN851351 IBJ851351 ILF851351 IVB851351 JEX851351 JOT851351 JYP851351 KIL851351 KSH851351 LCD851351 LLZ851351 LVV851351 MFR851351 MPN851351 MZJ851351 NJF851351 NTB851351 OCX851351 OMT851351 OWP851351 PGL851351 PQH851351 QAD851351 QJZ851351 QTV851351 RDR851351 RNN851351 RXJ851351 SHF851351 SRB851351 TAX851351 TKT851351 TUP851351 UEL851351 UOH851351 UYD851351 VHZ851351 VRV851351 WBR851351 WLN851351 WVJ851351 B916887 IX916887 ST916887 ACP916887 AML916887 AWH916887 BGD916887 BPZ916887 BZV916887 CJR916887 CTN916887 DDJ916887 DNF916887 DXB916887 EGX916887 EQT916887 FAP916887 FKL916887 FUH916887 GED916887 GNZ916887 GXV916887 HHR916887 HRN916887 IBJ916887 ILF916887 IVB916887 JEX916887 JOT916887 JYP916887 KIL916887 KSH916887 LCD916887 LLZ916887 LVV916887 MFR916887 MPN916887 MZJ916887 NJF916887 NTB916887 OCX916887 OMT916887 OWP916887 PGL916887 PQH916887 QAD916887 QJZ916887 QTV916887 RDR916887 RNN916887 RXJ916887 SHF916887 SRB916887 TAX916887 TKT916887 TUP916887 UEL916887 UOH916887 UYD916887 VHZ916887 VRV916887 WBR916887 WLN916887 WVJ916887 B982423 IX982423 ST982423 ACP982423 AML982423 AWH982423 BGD982423 BPZ982423 BZV982423 CJR982423 CTN982423 DDJ982423 DNF982423 DXB982423 EGX982423 EQT982423 FAP982423 FKL982423 FUH982423 GED982423 GNZ982423 GXV982423 HHR982423 HRN982423 IBJ982423 ILF982423 IVB982423 JEX982423 JOT982423 JYP982423 KIL982423 KSH982423 LCD982423 LLZ982423 LVV982423 MFR982423 MPN982423 MZJ982423 NJF982423 NTB982423 OCX982423 OMT982423 OWP982423 PGL982423 PQH982423 QAD982423 QJZ982423 QTV982423 RDR982423 RNN982423 RXJ982423 SHF982423 SRB982423 TAX982423 TKT982423 TUP982423 UEL982423 UOH982423 UYD982423 VHZ982423 VRV982423 WBR982423 WLN982423 WVJ982423" xr:uid="{00000000-0002-0000-0100-000004000000}">
      <formula1>$IT$2:$IT$33</formula1>
    </dataValidation>
    <dataValidation type="list" allowBlank="1" showInputMessage="1" showErrorMessage="1" sqref="A1099 A1044 A1051 A1058 A1065 A1074 A1091 A1083 A1108 A1116 A1124 A1133 H1099 H1044 H1051 H1058 H1065 H1074 H1091 H1083 H1108" xr:uid="{00000000-0002-0000-0100-000005000000}">
      <formula1>$A$228:$A$231</formula1>
    </dataValidation>
  </dataValidations>
  <printOptions horizontalCentered="1"/>
  <pageMargins left="0.19685039370078741" right="0.19685039370078741" top="0.23622047244094491" bottom="0.23622047244094491" header="0" footer="0"/>
  <pageSetup orientation="portrait" r:id="rId1"/>
  <headerFooter alignWithMargins="0"/>
  <rowBreaks count="27" manualBreakCount="27">
    <brk id="58" max="5" man="1"/>
    <brk id="106" max="5" man="1"/>
    <brk id="152" max="5" man="1"/>
    <brk id="198" max="5" man="1"/>
    <brk id="243" max="5" man="1"/>
    <brk id="291" max="5" man="1"/>
    <brk id="335" max="5" man="1"/>
    <brk id="384" max="5" man="1"/>
    <brk id="447" max="5" man="1"/>
    <brk id="488" max="5" man="1"/>
    <brk id="530" max="5" man="1"/>
    <brk id="573" max="5" man="1"/>
    <brk id="619" max="5" man="1"/>
    <brk id="665" max="5" man="1"/>
    <brk id="714" max="5" man="1"/>
    <brk id="763" max="5" man="1"/>
    <brk id="801" max="5" man="1"/>
    <brk id="847" max="5" man="1"/>
    <brk id="891" max="5" man="1"/>
    <brk id="936" max="5" man="1"/>
    <brk id="978" max="5" man="1"/>
    <brk id="1022" max="5" man="1"/>
    <brk id="1071" max="5" man="1"/>
    <brk id="1114" max="5" man="1"/>
    <brk id="1150" max="5" man="1"/>
    <brk id="1196" max="5" man="1"/>
    <brk id="124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LISTA DE PARTIDAS</vt:lpstr>
      <vt:lpstr>ANALISIS </vt:lpstr>
      <vt:lpstr>'ANALISIS '!Área_de_impresión</vt:lpstr>
      <vt:lpstr>'LISTA DE PARTIDAS'!Área_de_impresión</vt:lpstr>
      <vt:lpstr>'ANALISIS '!Títulos_a_imprimir</vt:lpstr>
      <vt:lpstr>'LISTA DE PARTIDAS'!Títulos_a_imprimir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Esther Rodríguez Restituyo</dc:creator>
  <cp:lastModifiedBy>Sasha María Aquino</cp:lastModifiedBy>
  <cp:lastPrinted>2021-06-15T20:22:53Z</cp:lastPrinted>
  <dcterms:created xsi:type="dcterms:W3CDTF">2021-01-18T23:57:38Z</dcterms:created>
  <dcterms:modified xsi:type="dcterms:W3CDTF">2021-07-09T16:51:47Z</dcterms:modified>
</cp:coreProperties>
</file>