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   CAÑADA CIMARRONA\"/>
    </mc:Choice>
  </mc:AlternateContent>
  <xr:revisionPtr revIDLastSave="0" documentId="8_{221C6895-DDC3-4BF7-8C07-A2500F899DE5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NALISIS PARA CASETA CLORO" sheetId="17" state="hidden" r:id="rId1"/>
    <sheet name="AC.CAÑADA CIMARRONA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#N/A</definedName>
    <definedName name="\b" localSheetId="1">#REF!</definedName>
    <definedName name="\b">#REF!</definedName>
    <definedName name="\c">#N/A</definedName>
    <definedName name="\d">#N/A</definedName>
    <definedName name="\f" localSheetId="1">#REF!</definedName>
    <definedName name="\f">#REF!</definedName>
    <definedName name="\i" localSheetId="1">#REF!</definedName>
    <definedName name="\i">#REF!</definedName>
    <definedName name="\m" localSheetId="1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[1]CUB02!$W$1:$W$8</definedName>
    <definedName name="__ZC1" localSheetId="1">#REF!</definedName>
    <definedName name="__ZC1">#REF!</definedName>
    <definedName name="__ZE1" localSheetId="1">#REF!</definedName>
    <definedName name="__ZE1">#REF!</definedName>
    <definedName name="__ZE2" localSheetId="1">#REF!</definedName>
    <definedName name="__ZE2">#REF!</definedName>
    <definedName name="__ZE3" localSheetId="1">#REF!</definedName>
    <definedName name="__ZE3">#REF!</definedName>
    <definedName name="__ZE4" localSheetId="1">#REF!</definedName>
    <definedName name="__ZE4">#REF!</definedName>
    <definedName name="__ZE5" localSheetId="1">#REF!</definedName>
    <definedName name="__ZE5">#REF!</definedName>
    <definedName name="__ZE6" localSheetId="1">#REF!</definedName>
    <definedName name="__ZE6">#REF!</definedName>
    <definedName name="_1">#N/A</definedName>
    <definedName name="_Fill" localSheetId="1" hidden="1">#REF!</definedName>
    <definedName name="_Fill" hidden="1">#REF!</definedName>
    <definedName name="_ZC1" localSheetId="1">#REF!</definedName>
    <definedName name="_ZC1">#REF!</definedName>
    <definedName name="_ZE1" localSheetId="1">#REF!</definedName>
    <definedName name="_ZE1">#REF!</definedName>
    <definedName name="_ZE2" localSheetId="1">#REF!</definedName>
    <definedName name="_ZE2">#REF!</definedName>
    <definedName name="_ZE3" localSheetId="1">#REF!</definedName>
    <definedName name="_ZE3">#REF!</definedName>
    <definedName name="_ZE4" localSheetId="1">#REF!</definedName>
    <definedName name="_ZE4">#REF!</definedName>
    <definedName name="_ZE5" localSheetId="1">#REF!</definedName>
    <definedName name="_ZE5">#REF!</definedName>
    <definedName name="_ZE6" localSheetId="1">#REF!</definedName>
    <definedName name="_ZE6">#REF!</definedName>
    <definedName name="a" localSheetId="1">[2]PVC!#REF!</definedName>
    <definedName name="a">[2]PVC!#REF!</definedName>
    <definedName name="A_IMPRESIÓN_IM" localSheetId="1">#REF!</definedName>
    <definedName name="A_IMPRESIÓN_IM">#REF!</definedName>
    <definedName name="AC38G40">'[3]LISTADO INSUMOS DEL 2000'!$I$29</definedName>
    <definedName name="acero" localSheetId="1">#REF!</definedName>
    <definedName name="acero">#REF!</definedName>
    <definedName name="Acero_QQ">[4]INSU!$D$9</definedName>
    <definedName name="acero60" localSheetId="1">#REF!</definedName>
    <definedName name="acero60">#REF!</definedName>
    <definedName name="ADA" localSheetId="1">'[5]CUB-10181-3(Rescision)'!#REF!</definedName>
    <definedName name="ADA">'[5]CUB-10181-3(Rescision)'!#REF!</definedName>
    <definedName name="ADAPTADOR_HEM_PVC_1" localSheetId="1">#REF!</definedName>
    <definedName name="ADAPTADOR_HEM_PVC_1">#REF!</definedName>
    <definedName name="ADAPTADOR_HEM_PVC_12" localSheetId="1">#REF!</definedName>
    <definedName name="ADAPTADOR_HEM_PVC_12">#REF!</definedName>
    <definedName name="ADAPTADOR_HEM_PVC_34" localSheetId="1">#REF!</definedName>
    <definedName name="ADAPTADOR_HEM_PVC_34">#REF!</definedName>
    <definedName name="ADAPTADOR_MAC_PVC_1" localSheetId="1">#REF!</definedName>
    <definedName name="ADAPTADOR_MAC_PVC_1">#REF!</definedName>
    <definedName name="ADAPTADOR_MAC_PVC_12" localSheetId="1">#REF!</definedName>
    <definedName name="ADAPTADOR_MAC_PVC_12">#REF!</definedName>
    <definedName name="ADAPTADOR_MAC_PVC_34" localSheetId="1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 localSheetId="1">#REF!</definedName>
    <definedName name="AL_ELEC_No14">#REF!</definedName>
    <definedName name="AL_ELEC_No6" localSheetId="1">#REF!</definedName>
    <definedName name="AL_ELEC_No6">#REF!</definedName>
    <definedName name="AL_ELEC_No8" localSheetId="1">#REF!</definedName>
    <definedName name="AL_ELEC_No8">#REF!</definedName>
    <definedName name="Alambre_Varilla">[4]INSU!$D$17</definedName>
    <definedName name="alambre18" localSheetId="1">#REF!</definedName>
    <definedName name="alambre18">#REF!</definedName>
    <definedName name="ALBANIL">#REF!</definedName>
    <definedName name="ALBANIL2">#REF!</definedName>
    <definedName name="ALBANIL3">#REF!</definedName>
    <definedName name="ANA" localSheetId="1">'[5]CUB-10181-3(Rescision)'!#REF!</definedName>
    <definedName name="ANA">'[5]CUB-10181-3(Rescision)'!#REF!</definedName>
    <definedName name="ANDAMIOS">#REF!</definedName>
    <definedName name="ANGULAR" localSheetId="1">#REF!</definedName>
    <definedName name="ANGULAR">#REF!</definedName>
    <definedName name="ARANDELA_INODORO_PVC_4">#REF!</definedName>
    <definedName name="ARCILLA_ROJA">#REF!</definedName>
    <definedName name="_xlnm.Extract">[1]CUB02!$S$13:$AN$415</definedName>
    <definedName name="_xlnm.Print_Area" localSheetId="1">'AC.CAÑADA CIMARRONA'!$A$1:$F$361</definedName>
    <definedName name="_xlnm.Print_Area" localSheetId="0">'ANALISIS PARA CASETA CLORO'!$A$1:$G$1086</definedName>
    <definedName name="_xlnm.Print_Area">#REF!</definedName>
    <definedName name="ARENA_PAÑETE">#REF!</definedName>
    <definedName name="ArenaItabo" localSheetId="1">#REF!</definedName>
    <definedName name="ArenaItabo">#REF!</definedName>
    <definedName name="ArenaPlanta">#REF!</definedName>
    <definedName name="as" localSheetId="1">#N/A</definedName>
    <definedName name="as">#N/A</definedName>
    <definedName name="asd">#REF!</definedName>
    <definedName name="AYCARP" localSheetId="1">[6]INS!#REF!</definedName>
    <definedName name="AYCARP">[6]INS!#REF!</definedName>
    <definedName name="AYUDANTE">#REF!</definedName>
    <definedName name="Ayudante_2da">#REF!</definedName>
    <definedName name="Ayudante_Soldador">#REF!</definedName>
    <definedName name="b" localSheetId="1">[7]ADDENDA!#REF!</definedName>
    <definedName name="b">[7]ADDENDA!#REF!</definedName>
    <definedName name="BALDOSAS_TRANSPARENTE">#REF!</definedName>
    <definedName name="bas3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 localSheetId="1">#REF!</definedName>
    <definedName name="bloque8">#REF!</definedName>
    <definedName name="BOMBA_ACHIQUE">#REF!</definedName>
    <definedName name="BOMBILLAS_1500W">[8]INSU!$B$42</definedName>
    <definedName name="BOQUILLA_FREGADERO_CROMO">#REF!</definedName>
    <definedName name="BOQUILLA_LAVADERO_CROMO">#REF!</definedName>
    <definedName name="BOTE">#REF!</definedName>
    <definedName name="BREAKERS" localSheetId="1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'[9]M.O.'!$C$9</definedName>
    <definedName name="BVNBVNBV" localSheetId="1">'[10]M.O.'!#REF!</definedName>
    <definedName name="BVNBVNBV">'[10]M.O.'!#REF!</definedName>
    <definedName name="C._ADICIONAL">#N/A</definedName>
    <definedName name="caballeteasbecto" localSheetId="1">[11]precios!#REF!</definedName>
    <definedName name="caballeteasbecto">[11]precios!#REF!</definedName>
    <definedName name="caballeteasbeto" localSheetId="1">[11]precios!#REF!</definedName>
    <definedName name="caballeteasbeto">[11]precios!#REF!</definedName>
    <definedName name="CAJA_2x4_12">#REF!</definedName>
    <definedName name="CAJA_2x4_34">#REF!</definedName>
    <definedName name="CAJA_OCTAGONAL">#REF!</definedName>
    <definedName name="Cal">#REF!</definedName>
    <definedName name="CALICHE" localSheetId="1">#REF!</definedName>
    <definedName name="CALICHE">#REF!</definedName>
    <definedName name="CAMION_BOTE">#REF!</definedName>
    <definedName name="CARANTEPECHO" localSheetId="1">'[9]M.O.'!#REF!</definedName>
    <definedName name="CARANTEPECHO">'[9]M.O.'!#REF!</definedName>
    <definedName name="CARCOL30" localSheetId="1">'[9]M.O.'!#REF!</definedName>
    <definedName name="CARCOL30">'[9]M.O.'!#REF!</definedName>
    <definedName name="CARCOL50" localSheetId="1">'[9]M.O.'!#REF!</definedName>
    <definedName name="CARCOL50">'[9]M.O.'!#REF!</definedName>
    <definedName name="CARCOLAMARRE" localSheetId="1">'[9]M.O.'!#REF!</definedName>
    <definedName name="CARCOLAMARRE">'[9]M.O.'!#REF!</definedName>
    <definedName name="CARGA_SOCIAL">#REF!</definedName>
    <definedName name="CARLOSAPLA" localSheetId="1">'[9]M.O.'!#REF!</definedName>
    <definedName name="CARLOSAPLA">'[9]M.O.'!#REF!</definedName>
    <definedName name="CARLOSAVARIASAGUAS" localSheetId="1">'[9]M.O.'!#REF!</definedName>
    <definedName name="CARLOSAVARIASAGUAS">'[9]M.O.'!#REF!</definedName>
    <definedName name="CARMURO" localSheetId="1">'[9]M.O.'!#REF!</definedName>
    <definedName name="CARMURO">'[9]M.O.'!#REF!</definedName>
    <definedName name="CARP1" localSheetId="1">[6]INS!#REF!</definedName>
    <definedName name="CARP1">[6]INS!#REF!</definedName>
    <definedName name="CARP2" localSheetId="1">[6]INS!#REF!</definedName>
    <definedName name="CARP2">[6]INS!#REF!</definedName>
    <definedName name="CARPDINTEL" localSheetId="1">'[9]M.O.'!#REF!</definedName>
    <definedName name="CARPDINTEL">'[9]M.O.'!#REF!</definedName>
    <definedName name="CARPINTERIA_COL_PERIMETRO">#REF!</definedName>
    <definedName name="CARPINTERIA_INSTAL_COL_PERIMETRO">#REF!</definedName>
    <definedName name="CARPVIGA2040" localSheetId="1">'[9]M.O.'!#REF!</definedName>
    <definedName name="CARPVIGA2040">'[9]M.O.'!#REF!</definedName>
    <definedName name="CARPVIGA3050" localSheetId="1">'[9]M.O.'!#REF!</definedName>
    <definedName name="CARPVIGA3050">'[9]M.O.'!#REF!</definedName>
    <definedName name="CARPVIGA3060" localSheetId="1">'[9]M.O.'!#REF!</definedName>
    <definedName name="CARPVIGA3060">'[9]M.O.'!#REF!</definedName>
    <definedName name="CARPVIGA4080" localSheetId="1">'[9]M.O.'!#REF!</definedName>
    <definedName name="CARPVIGA4080">'[9]M.O.'!#REF!</definedName>
    <definedName name="CARRAMPA" localSheetId="1">'[9]M.O.'!#REF!</definedName>
    <definedName name="CARRAMPA">'[9]M.O.'!#REF!</definedName>
    <definedName name="CARRETILLA">#REF!</definedName>
    <definedName name="CASBESTO" localSheetId="1">'[9]M.O.'!#REF!</definedName>
    <definedName name="CASBESTO">'[9]M.O.'!#REF!</definedName>
    <definedName name="CBLOCK10" localSheetId="1">[6]INS!#REF!</definedName>
    <definedName name="CBLOCK10">[6]INS!#REF!</definedName>
    <definedName name="cell">'[12]LISTADO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[8]INSU!$B$104</definedName>
    <definedName name="CHAZOS">#REF!</definedName>
    <definedName name="CHEQUE_HORZ_34" localSheetId="1">#REF!</definedName>
    <definedName name="CHEQUE_HORZ_34">#REF!</definedName>
    <definedName name="CHEQUE_VERT_34" localSheetId="1">#REF!</definedName>
    <definedName name="CHEQUE_VERT_34">#REF!</definedName>
    <definedName name="CLAVO_ACERO">[4]INSU!$D$130</definedName>
    <definedName name="CLAVO_CORRIENTE">[4]INSU!$D$131</definedName>
    <definedName name="CLAVO_ZINC" localSheetId="1">#REF!</definedName>
    <definedName name="CLAVO_ZINC">#REF!</definedName>
    <definedName name="clavos" localSheetId="1">#REF!</definedName>
    <definedName name="clavos">#REF!</definedName>
    <definedName name="CLAVOZINC">[13]INS!$D$767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 localSheetId="1">#REF!</definedName>
    <definedName name="CODO_CPVC_12x90">#REF!</definedName>
    <definedName name="CODO_ELEC_1" localSheetId="1">#REF!</definedName>
    <definedName name="CODO_ELEC_1">#REF!</definedName>
    <definedName name="CODO_ELEC_12" localSheetId="1">#REF!</definedName>
    <definedName name="CODO_ELEC_12">#REF!</definedName>
    <definedName name="CODO_ELEC_1y12" localSheetId="1">#REF!</definedName>
    <definedName name="CODO_ELEC_1y12">#REF!</definedName>
    <definedName name="CODO_ELEC_2" localSheetId="1">#REF!</definedName>
    <definedName name="CODO_ELEC_2">#REF!</definedName>
    <definedName name="CODO_ELEC_34" localSheetId="1">#REF!</definedName>
    <definedName name="CODO_ELEC_34">#REF!</definedName>
    <definedName name="CODO_HG_1_12_x90">#REF!</definedName>
    <definedName name="CODO_HG_12x90">#REF!</definedName>
    <definedName name="CODO_HG_1x90" localSheetId="1">#REF!</definedName>
    <definedName name="CODO_HG_1x90">#REF!</definedName>
    <definedName name="CODO_HG_1y12x90" localSheetId="1">#REF!</definedName>
    <definedName name="CODO_HG_1y12x90">#REF!</definedName>
    <definedName name="CODO_HG_2x90" localSheetId="1">#REF!</definedName>
    <definedName name="CODO_HG_2x90">#REF!</definedName>
    <definedName name="CODO_HG_34x90" localSheetId="1">#REF!</definedName>
    <definedName name="CODO_HG_34x90">#REF!</definedName>
    <definedName name="CODO_PVC_DRE_2x45">#REF!</definedName>
    <definedName name="CODO_PVC_DRE_2x90">#REF!</definedName>
    <definedName name="CODO_PVC_DRE_3x45" localSheetId="1">#REF!</definedName>
    <definedName name="CODO_PVC_DRE_3x45">#REF!</definedName>
    <definedName name="CODO_PVC_DRE_3x90" localSheetId="1">#REF!</definedName>
    <definedName name="CODO_PVC_DRE_3x90">#REF!</definedName>
    <definedName name="CODO_PVC_DRE_4x45">#REF!</definedName>
    <definedName name="CODO_PVC_DRE_4x90">#REF!</definedName>
    <definedName name="CODO_PVC_PRES_12x90" localSheetId="1">#REF!</definedName>
    <definedName name="CODO_PVC_PRES_12x90">#REF!</definedName>
    <definedName name="CODO_PVC_PRES_1x90" localSheetId="1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RUZ_HG_1_12">#REF!</definedName>
    <definedName name="cuadro" localSheetId="1">[7]ADDENDA!#REF!</definedName>
    <definedName name="cuadro">[7]ADDENDA!#REF!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1">#REF!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 localSheetId="1">'[9]M.O.'!#REF!</definedName>
    <definedName name="CZINC">'[9]M.O.'!#REF!</definedName>
    <definedName name="derop" localSheetId="1">#N/A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 localSheetId="1">#REF!</definedName>
    <definedName name="desencofrado">#REF!</definedName>
    <definedName name="DESENCOFRADO_COLS">[4]MO!$B$256</definedName>
    <definedName name="DESENCOFRADO_LOSA">#REF!</definedName>
    <definedName name="DESENCOFRADO_MURO">#REF!</definedName>
    <definedName name="DESENCOFRADO_VIGA">#REF!</definedName>
    <definedName name="desencofradovigas" localSheetId="1">#REF!</definedName>
    <definedName name="desencofradovigas">#REF!</definedName>
    <definedName name="DIA" localSheetId="1">#REF!</definedName>
    <definedName name="DIA">#REF!</definedName>
    <definedName name="DISTRIBUCION_DE_AREAS_POR_NIVEL" localSheetId="1">#REF!</definedName>
    <definedName name="DISTRIBUCION_DE_AREAS_POR_NIVEL">#REF!</definedName>
    <definedName name="donatelo" localSheetId="1">#N/A</definedName>
    <definedName name="donatelo">#N/A</definedName>
    <definedName name="DUCHA_PLASTICA_CALIENTE_CROMO_12">#REF!</definedName>
    <definedName name="ELECTRODOS">#REF!</definedName>
    <definedName name="ENCACHE">#REF!</definedName>
    <definedName name="ENCOF_COLS_1">[4]MO!$B$247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 localSheetId="1">#REF!</definedName>
    <definedName name="encofradocolumna">#REF!</definedName>
    <definedName name="encofradorampa" localSheetId="1">#REF!</definedName>
    <definedName name="encofradorampa">#REF!</definedName>
    <definedName name="ESCALON_17x30">#REF!</definedName>
    <definedName name="ESCOBILLON" localSheetId="1">#REF!</definedName>
    <definedName name="ESCOBILLON">#REF!</definedName>
    <definedName name="ESTAMPADO">#REF!</definedName>
    <definedName name="ESTOPA">#REF!</definedName>
    <definedName name="expl" localSheetId="1">[7]ADDENDA!#REF!</definedName>
    <definedName name="expl">[7]ADDENDA!#REF!</definedName>
    <definedName name="Extracción_IM">[1]CUB02!$S$13:$AN$415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[6]INS!$D$561</definedName>
    <definedName name="GAVIONES">#REF!</definedName>
    <definedName name="GENERADOR_DIESEL_400KW">#REF!</definedName>
    <definedName name="GRANITO_30x30" localSheetId="1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 localSheetId="1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'[13]HORM. Y MORTEROS.'!$H$212</definedName>
    <definedName name="hormigon140" localSheetId="1">#REF!</definedName>
    <definedName name="hormigon140">#REF!</definedName>
    <definedName name="hormigon180" localSheetId="1">#REF!</definedName>
    <definedName name="hormigon180">#REF!</definedName>
    <definedName name="hormigon210" localSheetId="1">#REF!</definedName>
    <definedName name="hormigon210">#REF!</definedName>
    <definedName name="Imprimir_área_IM">#REF!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 localSheetId="1">'[5]CUB-10181-3(Rescision)'!#REF!</definedName>
    <definedName name="J">'[5]CUB-10181-3(Rescision)'!#REF!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[8]INSU!$B$41</definedName>
    <definedName name="LAQUEAR_MADERA">#REF!</definedName>
    <definedName name="LAVADERO_DOBLE" localSheetId="1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 localSheetId="1">#REF!</definedName>
    <definedName name="LLAVE_PASO_1">#REF!</definedName>
    <definedName name="LLAVE_PASO_34" localSheetId="1">#REF!</definedName>
    <definedName name="LLAVE_PASO_34">#REF!</definedName>
    <definedName name="LLAVE_SENCILLA">#REF!</definedName>
    <definedName name="LLAVIN_PUERTA" localSheetId="1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[4]INSU!$D$132</definedName>
    <definedName name="maderabrutapino" localSheetId="1">#REF!</definedName>
    <definedName name="maderabrutapino">#REF!</definedName>
    <definedName name="Maestro">#REF!</definedName>
    <definedName name="MAESTROCARP" localSheetId="1">[6]INS!#REF!</definedName>
    <definedName name="MAESTROCARP">[6]INS!#REF!</definedName>
    <definedName name="MALLA_ABRAZ_1_12">#REF!</definedName>
    <definedName name="MALLA_AL_GALVANIZADO" localSheetId="1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 localSheetId="1">#REF!</definedName>
    <definedName name="MARCO_PUERTA_PINO">#REF!</definedName>
    <definedName name="MATERIAL_RELLENO">#REF!</definedName>
    <definedName name="MBA" localSheetId="1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 localSheetId="1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[4]MO!$B$612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 localSheetId="1">#REF!</definedName>
    <definedName name="moacero">#REF!</definedName>
    <definedName name="moaceromalla" localSheetId="1">#REF!</definedName>
    <definedName name="moaceromalla">#REF!</definedName>
    <definedName name="moacerorampa" localSheetId="1">#REF!</definedName>
    <definedName name="moacerorampa">#REF!</definedName>
    <definedName name="MOLDE_ESTAMPADO">#REF!</definedName>
    <definedName name="MOPISOCERAMICA" localSheetId="1">[6]INS!#REF!</definedName>
    <definedName name="MOPISOCERAMICA">[6]INS!#REF!</definedName>
    <definedName name="MOTONIVELADORA">#REF!</definedName>
    <definedName name="MURO30">#REF!</definedName>
    <definedName name="MUROBOVEDA12A10X2AD">#REF!</definedName>
    <definedName name="NADA" localSheetId="1">[14]Insumos!#REF!</definedName>
    <definedName name="NADA">[14]Insumos!#REF!</definedName>
    <definedName name="NINGUNA" localSheetId="1">[14]Insumos!#REF!</definedName>
    <definedName name="NINGUNA">[14]Insumos!#REF!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 localSheetId="1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[13]SALARIOS!$C$10</definedName>
    <definedName name="OXIGENO_CIL">#REF!</definedName>
    <definedName name="p" localSheetId="1">[15]peso!#REF!</definedName>
    <definedName name="p">[15]peso!#REF!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 localSheetId="1">#REF!</definedName>
    <definedName name="PANEL_DIST_24C">#REF!</definedName>
    <definedName name="PANEL_DIST_32C">#REF!</definedName>
    <definedName name="PANEL_DIST_4a8C">#REF!</definedName>
    <definedName name="PanelDist_6a12_Circ_125a" localSheetId="1">#REF!</definedName>
    <definedName name="PanelDist_6a12_Circ_125a">#REF!</definedName>
    <definedName name="PARARRAYOS_9KV">#REF!</definedName>
    <definedName name="PEON">#REF!</definedName>
    <definedName name="Peon_1">[4]MO!$B$11</definedName>
    <definedName name="Peon_Colchas">[8]MO!$B$11</definedName>
    <definedName name="PEONCARP" localSheetId="1">[6]INS!#REF!</definedName>
    <definedName name="PEONCARP">[6]INS!#REF!</definedName>
    <definedName name="PERFIL_CUADRADO_34">[8]INSU!$B$91</definedName>
    <definedName name="Pernos" localSheetId="1">#REF!</definedName>
    <definedName name="Pernos">#REF!</definedName>
    <definedName name="PICO">#REF!</definedName>
    <definedName name="PIEDRA">#REF!</definedName>
    <definedName name="PIEDRA_GAVIONES">#REF!</definedName>
    <definedName name="PINO">[13]INS!$D$770</definedName>
    <definedName name="PINTURA_ACR_COLOR_PREPARADO">#REF!</definedName>
    <definedName name="PINTURA_ACR_EXT">#REF!</definedName>
    <definedName name="PINTURA_ACR_INT" localSheetId="1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[8]INSU!$B$103</definedName>
    <definedName name="PLANTA_ELECTRICA">#REF!</definedName>
    <definedName name="PLASTICO">[8]INSU!$B$90</definedName>
    <definedName name="PLIGADORA2">[6]INS!$D$563</definedName>
    <definedName name="PLOMERO" localSheetId="1">[6]INS!#REF!</definedName>
    <definedName name="PLOMERO">[6]INS!#REF!</definedName>
    <definedName name="PLOMERO_SOLDADOR">#REF!</definedName>
    <definedName name="PLOMEROAYUDANTE" localSheetId="1">[6]INS!#REF!</definedName>
    <definedName name="PLOMEROAYUDANTE">[6]INS!#REF!</definedName>
    <definedName name="PLOMEROOFICIAL" localSheetId="1">[6]INS!#REF!</definedName>
    <definedName name="PLOMEROOFICIAL">[6]INS!#REF!</definedName>
    <definedName name="PLYWOOD_34_2CARAS">[4]INSU!$D$133</definedName>
    <definedName name="pmadera2162" localSheetId="1">[11]precios!#REF!</definedName>
    <definedName name="pmadera2162">[11]precios!#REF!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[16]Precios!$A$4:$F$1576</definedName>
    <definedName name="PRESUPUESTO">#N/A</definedName>
    <definedName name="PUERTA_PANEL_PINO" localSheetId="1">#REF!</definedName>
    <definedName name="PUERTA_PANEL_PINO">#REF!</definedName>
    <definedName name="PUERTA_PLYWOOD" localSheetId="1">#REF!</definedName>
    <definedName name="PUERTA_PLYWOOD">#REF!</definedName>
    <definedName name="PULIDO_Y_BRILLADO_ESCALON">#REF!</definedName>
    <definedName name="PULIDOyBRILLADO_TC">#REF!</definedName>
    <definedName name="PWINCHE2000K">[6]INS!$D$568</definedName>
    <definedName name="Q">[1]CUB02!$W$1:$W$8</definedName>
    <definedName name="RASTRILLO" localSheetId="1">#REF!</definedName>
    <definedName name="RASTRILLO">#REF!</definedName>
    <definedName name="REDUCCION_BUSHING_HG_12x38">#REF!</definedName>
    <definedName name="REDUCCION_PVC_34a12" localSheetId="1">#REF!</definedName>
    <definedName name="REDUCCION_PVC_34a12">#REF!</definedName>
    <definedName name="REDUCCION_PVC_DREN_4x2" localSheetId="1">#REF!</definedName>
    <definedName name="REDUCCION_PVC_DREN_4x2">#REF!</definedName>
    <definedName name="REFERENCIA">[17]COF!$G$733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 localSheetId="1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 localSheetId="1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 localSheetId="1">#REF!</definedName>
    <definedName name="TEE_CPVC_12">#REF!</definedName>
    <definedName name="TEE_HG_1" localSheetId="1">#REF!</definedName>
    <definedName name="TEE_HG_1">#REF!</definedName>
    <definedName name="TEE_HG_1_12">#REF!</definedName>
    <definedName name="TEE_HG_12">#REF!</definedName>
    <definedName name="TEE_HG_34" localSheetId="1">#REF!</definedName>
    <definedName name="TEE_HG_34">#REF!</definedName>
    <definedName name="TEE_PVC_PRES_1" localSheetId="1">#REF!</definedName>
    <definedName name="TEE_PVC_PRES_1">#REF!</definedName>
    <definedName name="TEE_PVC_PRES_12" localSheetId="1">#REF!</definedName>
    <definedName name="TEE_PVC_PRES_12">#REF!</definedName>
    <definedName name="TEE_PVC_PRES_34" localSheetId="1">#REF!</definedName>
    <definedName name="TEE_PVC_PRES_34">#REF!</definedName>
    <definedName name="TEFLON">#REF!</definedName>
    <definedName name="THINNER" localSheetId="1">#REF!</definedName>
    <definedName name="THINNER">#REF!</definedName>
    <definedName name="_xlnm.Print_Titles" localSheetId="1">'AC.CAÑADA CIMARRONA'!$A:$F,'AC.CAÑADA CIMARRONA'!$1:$10</definedName>
    <definedName name="_xlnm.Print_Titles" localSheetId="0">'ANALISIS PARA CASETA CLORO'!$1:$11</definedName>
    <definedName name="_xlnm.Print_Titles">#N/A</definedName>
    <definedName name="Tolas" localSheetId="1">#REF!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 localSheetId="1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 localSheetId="1">#REF!</definedName>
    <definedName name="TUBO_CPVC_12">#REF!</definedName>
    <definedName name="TUBO_FLEXIBLE_INODORO_C_TUERCA">#REF!</definedName>
    <definedName name="TUBO_HA_36">#REF!</definedName>
    <definedName name="TUBO_HG_1" localSheetId="1">#REF!</definedName>
    <definedName name="TUBO_HG_1">#REF!</definedName>
    <definedName name="TUBO_HG_1_12">#REF!</definedName>
    <definedName name="TUBO_HG_12">#REF!</definedName>
    <definedName name="TUBO_HG_34" localSheetId="1">#REF!</definedName>
    <definedName name="TUBO_HG_34">#REF!</definedName>
    <definedName name="TUBO_PVC_DRENAJE_1_12">#REF!</definedName>
    <definedName name="TUBO_PVC_SCH40_12" localSheetId="1">#REF!</definedName>
    <definedName name="TUBO_PVC_SCH40_12">#REF!</definedName>
    <definedName name="TUBO_PVC_SCH40_34" localSheetId="1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 localSheetId="1">#REF!</definedName>
    <definedName name="TUBO_PVC_SDR41_3">#REF!</definedName>
    <definedName name="TUBO_PVC_SDR41_4">#REF!</definedName>
    <definedName name="TYPE_3M">#REF!</definedName>
    <definedName name="UND">#N/A</definedName>
    <definedName name="UNION_HG_1" localSheetId="1">#REF!</definedName>
    <definedName name="UNION_HG_1">#REF!</definedName>
    <definedName name="UNION_HG_12">#REF!</definedName>
    <definedName name="UNION_HG_34" localSheetId="1">#REF!</definedName>
    <definedName name="UNION_HG_34">#REF!</definedName>
    <definedName name="UNION_PVC_PRES_12" localSheetId="1">#REF!</definedName>
    <definedName name="UNION_PVC_PRES_12">#REF!</definedName>
    <definedName name="UNION_PVC_PRES_34" localSheetId="1">#REF!</definedName>
    <definedName name="UNION_PVC_PRES_34">#REF!</definedName>
    <definedName name="vaciadohormigonindustrial" localSheetId="1">#REF!</definedName>
    <definedName name="vaciadohormigonindustrial">#REF!</definedName>
    <definedName name="vaciadozapata" localSheetId="1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 localSheetId="1">#REF!</definedName>
    <definedName name="VIGASHP">#REF!</definedName>
    <definedName name="VIOLINADO">#REF!</definedName>
    <definedName name="VUELO10">#REF!</definedName>
    <definedName name="Winche">#REF!</definedName>
    <definedName name="YEE_PVC_DREN_2" localSheetId="1">#REF!</definedName>
    <definedName name="YEE_PVC_DREN_2">#REF!</definedName>
    <definedName name="YEE_PVC_DREN_3" localSheetId="1">#REF!</definedName>
    <definedName name="YEE_PVC_DREN_3">#REF!</definedName>
    <definedName name="YEE_PVC_DREN_4">#REF!</definedName>
    <definedName name="YEE_PVC_DREN_4x2">#REF!</definedName>
    <definedName name="ZINC_CAL26_3x6" localSheetId="1">#REF!</definedName>
    <definedName name="ZINC_CAL26_3x6">#REF!</definedName>
    <definedName name="ZOCALO_8x34" localSheetId="1">#REF!</definedName>
    <definedName name="ZOCALO_8x34">#REF!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7" i="19" l="1"/>
  <c r="A218" i="19"/>
  <c r="A219" i="19"/>
  <c r="A220" i="19"/>
  <c r="A221" i="19"/>
  <c r="A222" i="19"/>
  <c r="A223" i="19"/>
  <c r="A224" i="19"/>
  <c r="A225" i="19"/>
  <c r="G30" i="19"/>
  <c r="G31" i="19"/>
  <c r="G33" i="19"/>
  <c r="G34" i="19"/>
  <c r="G35" i="19"/>
  <c r="G36" i="19"/>
  <c r="G37" i="19"/>
  <c r="G38" i="19"/>
  <c r="G39" i="19"/>
  <c r="G40" i="19"/>
  <c r="G41" i="19"/>
  <c r="G42" i="19"/>
  <c r="G43" i="19"/>
  <c r="G45" i="19"/>
  <c r="G48" i="19"/>
  <c r="G50" i="19"/>
  <c r="G52" i="19"/>
  <c r="G53" i="19"/>
  <c r="G54" i="19"/>
  <c r="G55" i="19"/>
  <c r="G56" i="19"/>
  <c r="G64" i="19"/>
  <c r="G65" i="19"/>
  <c r="G66" i="19"/>
  <c r="G67" i="19"/>
  <c r="G68" i="19"/>
  <c r="G70" i="19"/>
  <c r="G71" i="19"/>
  <c r="G77" i="19"/>
  <c r="G78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4" i="19"/>
  <c r="G105" i="19"/>
  <c r="G106" i="19"/>
  <c r="G107" i="19"/>
  <c r="G108" i="19"/>
  <c r="G109" i="19"/>
  <c r="G110" i="19"/>
  <c r="G111" i="19"/>
  <c r="G112" i="19"/>
  <c r="G113" i="19"/>
  <c r="G114" i="19"/>
  <c r="G123" i="19"/>
  <c r="G124" i="19"/>
  <c r="G127" i="19"/>
  <c r="G128" i="19"/>
  <c r="G129" i="19"/>
  <c r="G130" i="19"/>
  <c r="G131" i="19"/>
  <c r="G132" i="19"/>
  <c r="G133" i="19"/>
  <c r="G134" i="19"/>
  <c r="G135" i="19"/>
  <c r="G139" i="19"/>
  <c r="G140" i="19"/>
  <c r="G141" i="19"/>
  <c r="G142" i="19"/>
  <c r="G152" i="19"/>
  <c r="G153" i="19"/>
  <c r="G159" i="19"/>
  <c r="G160" i="19"/>
  <c r="G161" i="19"/>
  <c r="G163" i="19"/>
  <c r="G166" i="19"/>
  <c r="G167" i="19"/>
  <c r="G168" i="19"/>
  <c r="G169" i="19"/>
  <c r="G170" i="19"/>
  <c r="G175" i="19"/>
  <c r="G176" i="19"/>
  <c r="G179" i="19"/>
  <c r="G180" i="19"/>
  <c r="G188" i="19"/>
  <c r="G189" i="19"/>
  <c r="G191" i="19"/>
  <c r="G192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5" i="19"/>
  <c r="G246" i="19"/>
  <c r="G247" i="19"/>
  <c r="G248" i="19"/>
  <c r="G249" i="19"/>
  <c r="G250" i="19"/>
  <c r="G251" i="19"/>
  <c r="G252" i="19"/>
  <c r="G253" i="19"/>
  <c r="G254" i="19"/>
  <c r="G255" i="19"/>
  <c r="G256" i="19"/>
  <c r="G257" i="19"/>
  <c r="G258" i="19"/>
  <c r="G259" i="19"/>
  <c r="G267" i="19"/>
  <c r="G268" i="19"/>
  <c r="G271" i="19"/>
  <c r="G272" i="19"/>
  <c r="G285" i="19"/>
  <c r="G290" i="19"/>
  <c r="G291" i="19"/>
  <c r="G298" i="19"/>
  <c r="G299" i="19"/>
  <c r="G300" i="19"/>
  <c r="G302" i="19"/>
  <c r="G303" i="19"/>
  <c r="G304" i="19"/>
  <c r="G306" i="19"/>
  <c r="G308" i="19"/>
  <c r="G309" i="19"/>
  <c r="G310" i="19"/>
  <c r="G311" i="19"/>
  <c r="G312" i="19"/>
  <c r="G313" i="19"/>
  <c r="G314" i="19"/>
  <c r="G315" i="19"/>
  <c r="G316" i="19"/>
  <c r="G317" i="19"/>
  <c r="G318" i="19"/>
  <c r="G319" i="19"/>
  <c r="G320" i="19"/>
  <c r="G321" i="19"/>
  <c r="G322" i="19"/>
  <c r="G323" i="19"/>
  <c r="G195" i="19"/>
  <c r="G15" i="19"/>
  <c r="G16" i="19"/>
  <c r="G22" i="19"/>
  <c r="G23" i="19"/>
  <c r="G24" i="19"/>
  <c r="G26" i="19"/>
  <c r="G27" i="19"/>
  <c r="G324" i="19"/>
  <c r="G325" i="19"/>
  <c r="G190" i="19"/>
  <c r="G125" i="19"/>
  <c r="G122" i="19"/>
  <c r="G116" i="19"/>
  <c r="G148" i="19"/>
  <c r="G63" i="19"/>
  <c r="G58" i="19"/>
  <c r="G115" i="19"/>
  <c r="G57" i="19"/>
  <c r="G138" i="19"/>
  <c r="G162" i="19"/>
  <c r="A190" i="19"/>
  <c r="A182" i="19"/>
  <c r="A186" i="19"/>
  <c r="A187" i="19"/>
  <c r="A177" i="19"/>
  <c r="A178" i="19"/>
  <c r="A161" i="19"/>
  <c r="A154" i="19"/>
  <c r="A155" i="19"/>
  <c r="A156" i="19"/>
  <c r="A157" i="19"/>
  <c r="A158" i="19"/>
  <c r="A136" i="19"/>
  <c r="A137" i="19"/>
  <c r="A138" i="19"/>
  <c r="G18" i="19"/>
  <c r="G121" i="19"/>
  <c r="G25" i="19"/>
  <c r="F1083" i="17"/>
  <c r="F1082" i="17"/>
  <c r="E1081" i="17"/>
  <c r="F1081" i="17"/>
  <c r="F1072" i="17"/>
  <c r="F1070" i="17"/>
  <c r="E1071" i="17"/>
  <c r="F1071" i="17"/>
  <c r="E1064" i="17"/>
  <c r="F1064" i="17"/>
  <c r="E1063" i="17"/>
  <c r="F1063" i="17"/>
  <c r="F1062" i="17"/>
  <c r="F1054" i="17"/>
  <c r="F1053" i="17"/>
  <c r="F1052" i="17"/>
  <c r="F1047" i="17"/>
  <c r="F1046" i="17"/>
  <c r="F1045" i="17"/>
  <c r="F1043" i="17"/>
  <c r="F1042" i="17"/>
  <c r="F1041" i="17"/>
  <c r="F1040" i="17"/>
  <c r="F1035" i="17"/>
  <c r="F1034" i="17"/>
  <c r="F1033" i="17"/>
  <c r="F1031" i="17"/>
  <c r="F1030" i="17"/>
  <c r="F1029" i="17"/>
  <c r="F1028" i="17"/>
  <c r="F1027" i="17"/>
  <c r="F1026" i="17"/>
  <c r="F1025" i="17"/>
  <c r="F1024" i="17"/>
  <c r="F1023" i="17"/>
  <c r="F1022" i="17"/>
  <c r="F1018" i="17"/>
  <c r="F1017" i="17"/>
  <c r="F1016" i="17"/>
  <c r="F1015" i="17"/>
  <c r="F1012" i="17"/>
  <c r="F1003" i="17"/>
  <c r="F990" i="17"/>
  <c r="F980" i="17"/>
  <c r="C971" i="17"/>
  <c r="C970" i="17"/>
  <c r="C969" i="17"/>
  <c r="F969" i="17"/>
  <c r="C968" i="17"/>
  <c r="F968" i="17"/>
  <c r="C967" i="17"/>
  <c r="F967" i="17"/>
  <c r="F957" i="17"/>
  <c r="F956" i="17"/>
  <c r="F953" i="17"/>
  <c r="F952" i="17"/>
  <c r="F951" i="17"/>
  <c r="F949" i="17"/>
  <c r="F944" i="17"/>
  <c r="F943" i="17"/>
  <c r="F945" i="17"/>
  <c r="E950" i="17"/>
  <c r="F950" i="17"/>
  <c r="C937" i="17"/>
  <c r="C936" i="17"/>
  <c r="C930" i="17"/>
  <c r="C924" i="17"/>
  <c r="C918" i="17"/>
  <c r="C889" i="17"/>
  <c r="F887" i="17"/>
  <c r="F881" i="17"/>
  <c r="F880" i="17"/>
  <c r="F879" i="17"/>
  <c r="F875" i="17"/>
  <c r="E869" i="17"/>
  <c r="E874" i="17"/>
  <c r="F874" i="17"/>
  <c r="F860" i="17"/>
  <c r="F859" i="17"/>
  <c r="F858" i="17"/>
  <c r="F857" i="17"/>
  <c r="F856" i="17"/>
  <c r="F855" i="17"/>
  <c r="F854" i="17"/>
  <c r="F853" i="17"/>
  <c r="F852" i="17"/>
  <c r="F851" i="17"/>
  <c r="F850" i="17"/>
  <c r="F849" i="17"/>
  <c r="F848" i="17"/>
  <c r="F847" i="17"/>
  <c r="F845" i="17"/>
  <c r="F843" i="17"/>
  <c r="F842" i="17"/>
  <c r="F841" i="17"/>
  <c r="F840" i="17"/>
  <c r="F837" i="17"/>
  <c r="F826" i="17"/>
  <c r="F825" i="17"/>
  <c r="C819" i="17"/>
  <c r="C818" i="17"/>
  <c r="C817" i="17"/>
  <c r="C816" i="17"/>
  <c r="F813" i="17"/>
  <c r="F811" i="17"/>
  <c r="F810" i="17"/>
  <c r="E1080" i="17"/>
  <c r="F1080" i="17"/>
  <c r="C805" i="17"/>
  <c r="C804" i="17"/>
  <c r="F802" i="17"/>
  <c r="F801" i="17"/>
  <c r="F800" i="17"/>
  <c r="F794" i="17"/>
  <c r="F793" i="17"/>
  <c r="E836" i="17"/>
  <c r="F836" i="17"/>
  <c r="F792" i="17"/>
  <c r="C786" i="17"/>
  <c r="F783" i="17"/>
  <c r="F782" i="17"/>
  <c r="F781" i="17"/>
  <c r="F780" i="17"/>
  <c r="F772" i="17"/>
  <c r="C769" i="17"/>
  <c r="C773" i="17"/>
  <c r="F773" i="17"/>
  <c r="F765" i="17"/>
  <c r="I763" i="17"/>
  <c r="I764" i="17"/>
  <c r="J764" i="17"/>
  <c r="C753" i="17"/>
  <c r="F751" i="17"/>
  <c r="B749" i="17"/>
  <c r="C737" i="17"/>
  <c r="F737" i="17"/>
  <c r="F728" i="17"/>
  <c r="F727" i="17"/>
  <c r="F729" i="17"/>
  <c r="F731" i="17"/>
  <c r="F723" i="17"/>
  <c r="F721" i="17"/>
  <c r="F720" i="17"/>
  <c r="F715" i="17"/>
  <c r="F714" i="17"/>
  <c r="F712" i="17"/>
  <c r="F711" i="17"/>
  <c r="E846" i="17"/>
  <c r="F846" i="17"/>
  <c r="F710" i="17"/>
  <c r="E1021" i="17"/>
  <c r="F1021" i="17"/>
  <c r="F709" i="17"/>
  <c r="J706" i="17"/>
  <c r="H706" i="17"/>
  <c r="F706" i="17"/>
  <c r="F704" i="17"/>
  <c r="F701" i="17"/>
  <c r="F694" i="17"/>
  <c r="C691" i="17"/>
  <c r="C695" i="17"/>
  <c r="F695" i="17"/>
  <c r="C688" i="17"/>
  <c r="F688" i="17"/>
  <c r="C673" i="17"/>
  <c r="F673" i="17"/>
  <c r="F660" i="17"/>
  <c r="C654" i="17"/>
  <c r="F654" i="17"/>
  <c r="I653" i="17"/>
  <c r="C644" i="17"/>
  <c r="C647" i="17"/>
  <c r="F647" i="17"/>
  <c r="F640" i="17"/>
  <c r="C637" i="17"/>
  <c r="C641" i="17"/>
  <c r="F641" i="17"/>
  <c r="C629" i="17"/>
  <c r="C632" i="17"/>
  <c r="C633" i="17"/>
  <c r="F633" i="17"/>
  <c r="F626" i="17"/>
  <c r="F617" i="17"/>
  <c r="B1064" i="17"/>
  <c r="F616" i="17"/>
  <c r="F615" i="17"/>
  <c r="F614" i="17"/>
  <c r="J613" i="17"/>
  <c r="F613" i="17"/>
  <c r="B1063" i="17"/>
  <c r="F612" i="17"/>
  <c r="F611" i="17"/>
  <c r="F618" i="17"/>
  <c r="C610" i="17"/>
  <c r="F605" i="17"/>
  <c r="F604" i="17"/>
  <c r="F603" i="17"/>
  <c r="F602" i="17"/>
  <c r="F601" i="17"/>
  <c r="F600" i="17"/>
  <c r="I599" i="17"/>
  <c r="F599" i="17"/>
  <c r="F606" i="17" s="1"/>
  <c r="C598" i="17"/>
  <c r="F595" i="17"/>
  <c r="F594" i="17"/>
  <c r="F593" i="17"/>
  <c r="I592" i="17"/>
  <c r="F592" i="17"/>
  <c r="F591" i="17"/>
  <c r="E1061" i="17"/>
  <c r="F1061" i="17"/>
  <c r="F1065" i="17"/>
  <c r="F1066" i="17"/>
  <c r="F590" i="17"/>
  <c r="F589" i="17"/>
  <c r="F588" i="17"/>
  <c r="F587" i="17"/>
  <c r="F586" i="17"/>
  <c r="C578" i="17"/>
  <c r="C582" i="17"/>
  <c r="F582" i="17"/>
  <c r="F574" i="17"/>
  <c r="F568" i="17"/>
  <c r="F562" i="17"/>
  <c r="C552" i="17"/>
  <c r="C555" i="17"/>
  <c r="F555" i="17"/>
  <c r="C556" i="17"/>
  <c r="F556" i="17"/>
  <c r="C549" i="17"/>
  <c r="F549" i="17"/>
  <c r="F542" i="17"/>
  <c r="C539" i="17"/>
  <c r="C543" i="17"/>
  <c r="F543" i="17"/>
  <c r="I538" i="17"/>
  <c r="F536" i="17"/>
  <c r="I534" i="17"/>
  <c r="I535" i="17"/>
  <c r="J535" i="17"/>
  <c r="I528" i="17"/>
  <c r="I529" i="17"/>
  <c r="I530" i="17"/>
  <c r="I531" i="17"/>
  <c r="J531" i="17"/>
  <c r="F528" i="17"/>
  <c r="F527" i="17"/>
  <c r="F526" i="17"/>
  <c r="F529" i="17"/>
  <c r="F523" i="17"/>
  <c r="F521" i="17"/>
  <c r="F518" i="17"/>
  <c r="F517" i="17"/>
  <c r="F516" i="17"/>
  <c r="F511" i="17"/>
  <c r="F510" i="17"/>
  <c r="F509" i="17"/>
  <c r="F508" i="17"/>
  <c r="F507" i="17"/>
  <c r="F506" i="17"/>
  <c r="F505" i="17"/>
  <c r="F504" i="17"/>
  <c r="F503" i="17"/>
  <c r="F502" i="17"/>
  <c r="F500" i="17"/>
  <c r="F499" i="17"/>
  <c r="F498" i="17"/>
  <c r="F497" i="17"/>
  <c r="F496" i="17"/>
  <c r="F495" i="17"/>
  <c r="F494" i="17"/>
  <c r="F489" i="17"/>
  <c r="F488" i="17"/>
  <c r="F485" i="17"/>
  <c r="F481" i="17"/>
  <c r="F478" i="17"/>
  <c r="C475" i="17"/>
  <c r="C472" i="17"/>
  <c r="F472" i="17"/>
  <c r="F446" i="17"/>
  <c r="F445" i="17"/>
  <c r="F444" i="17"/>
  <c r="F441" i="17"/>
  <c r="I433" i="17"/>
  <c r="F431" i="17"/>
  <c r="F430" i="17"/>
  <c r="I425" i="17"/>
  <c r="F425" i="17"/>
  <c r="E426" i="17"/>
  <c r="F426" i="17"/>
  <c r="F424" i="17"/>
  <c r="F427" i="17"/>
  <c r="F419" i="17"/>
  <c r="F418" i="17"/>
  <c r="F416" i="17"/>
  <c r="F409" i="17"/>
  <c r="J408" i="17"/>
  <c r="F408" i="17"/>
  <c r="F407" i="17"/>
  <c r="F405" i="17"/>
  <c r="K400" i="17"/>
  <c r="F400" i="17"/>
  <c r="F398" i="17"/>
  <c r="E399" i="17"/>
  <c r="F399" i="17"/>
  <c r="F397" i="17"/>
  <c r="F391" i="17"/>
  <c r="F390" i="17"/>
  <c r="I384" i="17"/>
  <c r="I385" i="17"/>
  <c r="J383" i="17"/>
  <c r="F383" i="17"/>
  <c r="F382" i="17"/>
  <c r="I376" i="17"/>
  <c r="F374" i="17"/>
  <c r="F373" i="17"/>
  <c r="F372" i="17"/>
  <c r="F375" i="17"/>
  <c r="F365" i="17"/>
  <c r="E366" i="17"/>
  <c r="F366" i="17"/>
  <c r="F364" i="17"/>
  <c r="F363" i="17"/>
  <c r="F362" i="17"/>
  <c r="E367" i="17" s="1"/>
  <c r="F367" i="17" s="1"/>
  <c r="I358" i="17"/>
  <c r="I355" i="17"/>
  <c r="I354" i="17"/>
  <c r="F354" i="17"/>
  <c r="F353" i="17"/>
  <c r="F350" i="17"/>
  <c r="C349" i="17"/>
  <c r="F346" i="17"/>
  <c r="I344" i="17"/>
  <c r="F340" i="17"/>
  <c r="I339" i="17"/>
  <c r="F332" i="17"/>
  <c r="C326" i="17"/>
  <c r="F326" i="17"/>
  <c r="C315" i="17"/>
  <c r="F315" i="17"/>
  <c r="H308" i="17"/>
  <c r="F306" i="17"/>
  <c r="F305" i="17"/>
  <c r="F300" i="17"/>
  <c r="F299" i="17"/>
  <c r="C295" i="17"/>
  <c r="F293" i="17"/>
  <c r="F287" i="17"/>
  <c r="F281" i="17"/>
  <c r="F266" i="17"/>
  <c r="F265" i="17"/>
  <c r="F264" i="17"/>
  <c r="F263" i="17"/>
  <c r="F262" i="17"/>
  <c r="F260" i="17"/>
  <c r="F259" i="17"/>
  <c r="F258" i="17"/>
  <c r="F257" i="17"/>
  <c r="F256" i="17"/>
  <c r="F255" i="17"/>
  <c r="F254" i="17"/>
  <c r="F253" i="17"/>
  <c r="J251" i="17"/>
  <c r="H249" i="17"/>
  <c r="F249" i="17"/>
  <c r="F248" i="17"/>
  <c r="F247" i="17"/>
  <c r="F246" i="17"/>
  <c r="F243" i="17"/>
  <c r="F232" i="17"/>
  <c r="F231" i="17"/>
  <c r="C222" i="17"/>
  <c r="F221" i="17"/>
  <c r="F220" i="17"/>
  <c r="F218" i="17"/>
  <c r="F208" i="17"/>
  <c r="F206" i="17"/>
  <c r="F205" i="17"/>
  <c r="F199" i="17"/>
  <c r="F198" i="17"/>
  <c r="F197" i="17"/>
  <c r="F193" i="17"/>
  <c r="F192" i="17"/>
  <c r="F188" i="17"/>
  <c r="F187" i="17"/>
  <c r="F181" i="17"/>
  <c r="F171" i="17"/>
  <c r="F170" i="17"/>
  <c r="F165" i="17"/>
  <c r="F164" i="17"/>
  <c r="F158" i="17"/>
  <c r="I152" i="17"/>
  <c r="I153" i="17"/>
  <c r="I155" i="17"/>
  <c r="I156" i="17"/>
  <c r="F152" i="17"/>
  <c r="F151" i="17"/>
  <c r="I147" i="17"/>
  <c r="F147" i="17"/>
  <c r="F142" i="17"/>
  <c r="F141" i="17"/>
  <c r="F136" i="17"/>
  <c r="F135" i="17"/>
  <c r="F130" i="17"/>
  <c r="F129" i="17"/>
  <c r="F128" i="17"/>
  <c r="C124" i="17"/>
  <c r="F121" i="17"/>
  <c r="F120" i="17"/>
  <c r="F119" i="17"/>
  <c r="F118" i="17"/>
  <c r="C114" i="17"/>
  <c r="C113" i="17"/>
  <c r="C112" i="17"/>
  <c r="C111" i="17"/>
  <c r="F108" i="17"/>
  <c r="F106" i="17"/>
  <c r="F105" i="17"/>
  <c r="C101" i="17"/>
  <c r="C100" i="17"/>
  <c r="F98" i="17"/>
  <c r="F97" i="17"/>
  <c r="F96" i="17"/>
  <c r="F90" i="17"/>
  <c r="F82" i="17"/>
  <c r="F74" i="17"/>
  <c r="F73" i="17"/>
  <c r="F67" i="17"/>
  <c r="F58" i="17"/>
  <c r="F48" i="17"/>
  <c r="F39" i="17"/>
  <c r="F31" i="17"/>
  <c r="F25" i="17"/>
  <c r="F20" i="17"/>
  <c r="F19" i="17"/>
  <c r="F18" i="17"/>
  <c r="E169" i="17"/>
  <c r="F169" i="17"/>
  <c r="F17" i="17"/>
  <c r="E72" i="17"/>
  <c r="F72" i="17"/>
  <c r="F16" i="17"/>
  <c r="E29" i="17"/>
  <c r="F29" i="17"/>
  <c r="I15" i="17"/>
  <c r="I17" i="17"/>
  <c r="F15" i="17"/>
  <c r="E23" i="17"/>
  <c r="F23" i="17"/>
  <c r="F14" i="17"/>
  <c r="E81" i="17"/>
  <c r="F81" i="17"/>
  <c r="F13" i="17"/>
  <c r="E180" i="17"/>
  <c r="F180" i="17"/>
  <c r="F12" i="17"/>
  <c r="E57" i="17"/>
  <c r="F57" i="17"/>
  <c r="E66" i="17"/>
  <c r="F66" i="17"/>
  <c r="E163" i="17"/>
  <c r="F163" i="17"/>
  <c r="E307" i="17"/>
  <c r="F307" i="17"/>
  <c r="F308" i="17"/>
  <c r="E301" i="17"/>
  <c r="F301" i="17"/>
  <c r="F302" i="17"/>
  <c r="E417" i="17"/>
  <c r="F417" i="17"/>
  <c r="F420" i="17"/>
  <c r="F421" i="17"/>
  <c r="E432" i="17"/>
  <c r="F432" i="17"/>
  <c r="C581" i="17"/>
  <c r="F581" i="17"/>
  <c r="F632" i="17"/>
  <c r="E750" i="17"/>
  <c r="F750" i="17"/>
  <c r="C648" i="17"/>
  <c r="F648" i="17"/>
  <c r="F368" i="17"/>
  <c r="E352" i="17"/>
  <c r="F352" i="17"/>
  <c r="I356" i="17"/>
  <c r="F172" i="17"/>
  <c r="E280" i="17"/>
  <c r="F280" i="17"/>
  <c r="E548" i="17"/>
  <c r="F548" i="17"/>
  <c r="F869" i="17"/>
  <c r="F369" i="17"/>
  <c r="E487" i="17"/>
  <c r="F487" i="17"/>
  <c r="E56" i="17"/>
  <c r="F56" i="17"/>
  <c r="E65" i="17"/>
  <c r="F65" i="17"/>
  <c r="E79" i="17"/>
  <c r="F79" i="17"/>
  <c r="E107" i="17"/>
  <c r="F107" i="17"/>
  <c r="E713" i="17"/>
  <c r="F713" i="17"/>
  <c r="E1078" i="17"/>
  <c r="F1078" i="17"/>
  <c r="E234" i="17"/>
  <c r="F234" i="17"/>
  <c r="E89" i="17"/>
  <c r="F89" i="17"/>
  <c r="E46" i="17"/>
  <c r="F46" i="17"/>
  <c r="E722" i="17"/>
  <c r="F722" i="17"/>
  <c r="E37" i="17"/>
  <c r="F37" i="17"/>
  <c r="E561" i="17"/>
  <c r="F561" i="17"/>
  <c r="E275" i="17"/>
  <c r="F275" i="17"/>
  <c r="E573" i="17"/>
  <c r="F573" i="17"/>
  <c r="E331" i="17"/>
  <c r="F331" i="17"/>
  <c r="F433" i="17"/>
  <c r="F619" i="17"/>
  <c r="E88" i="17"/>
  <c r="F88" i="17"/>
  <c r="E179" i="17"/>
  <c r="F179" i="17"/>
  <c r="E47" i="17"/>
  <c r="F47" i="17"/>
  <c r="E38" i="17"/>
  <c r="F38" i="17"/>
  <c r="E80" i="17"/>
  <c r="F80" i="17"/>
  <c r="E384" i="17"/>
  <c r="F384" i="17"/>
  <c r="F385" i="17"/>
  <c r="F386" i="17"/>
  <c r="F512" i="17"/>
  <c r="G194" i="19"/>
  <c r="G29" i="19"/>
  <c r="G80" i="19"/>
  <c r="G193" i="19"/>
  <c r="G73" i="19"/>
  <c r="G28" i="19"/>
  <c r="G103" i="19"/>
  <c r="G51" i="19"/>
  <c r="G44" i="19"/>
  <c r="E292" i="17"/>
  <c r="F292" i="17"/>
  <c r="E667" i="17"/>
  <c r="F667" i="17"/>
  <c r="F435" i="17"/>
  <c r="F434" i="17"/>
  <c r="E1055" i="17"/>
  <c r="F1055" i="17"/>
  <c r="F1056" i="17"/>
  <c r="F376" i="17"/>
  <c r="E486" i="17"/>
  <c r="F486" i="17"/>
  <c r="F490" i="17"/>
  <c r="F491" i="17"/>
  <c r="E351" i="17"/>
  <c r="F351" i="17"/>
  <c r="F355" i="17"/>
  <c r="E406" i="17"/>
  <c r="F406" i="17"/>
  <c r="F410" i="17" s="1"/>
  <c r="C30" i="17"/>
  <c r="F30" i="17"/>
  <c r="F32" i="17"/>
  <c r="C24" i="17"/>
  <c r="F24" i="17"/>
  <c r="E314" i="17"/>
  <c r="F314" i="17"/>
  <c r="E672" i="17"/>
  <c r="F672" i="17"/>
  <c r="E687" i="17"/>
  <c r="F687" i="17"/>
  <c r="E196" i="17"/>
  <c r="F196" i="17"/>
  <c r="E567" i="17"/>
  <c r="F567" i="17"/>
  <c r="E653" i="17"/>
  <c r="F653" i="17"/>
  <c r="E659" i="17"/>
  <c r="F659" i="17"/>
  <c r="E320" i="17"/>
  <c r="F320" i="17"/>
  <c r="E325" i="17"/>
  <c r="E680" i="17"/>
  <c r="F680" i="17"/>
  <c r="F716" i="17"/>
  <c r="E1079" i="17"/>
  <c r="F1079" i="17"/>
  <c r="F1084" i="17"/>
  <c r="E1085" i="17"/>
  <c r="F75" i="17"/>
  <c r="F401" i="17"/>
  <c r="F402" i="17"/>
  <c r="F519" i="17"/>
  <c r="F596" i="17"/>
  <c r="F958" i="17"/>
  <c r="E960" i="17"/>
  <c r="F26" i="17"/>
  <c r="E153" i="17"/>
  <c r="F153" i="17"/>
  <c r="F154" i="17"/>
  <c r="H707" i="17"/>
  <c r="H708" i="17"/>
  <c r="F1073" i="17"/>
  <c r="F166" i="17"/>
  <c r="F1048" i="17"/>
  <c r="F1049" i="17"/>
  <c r="E392" i="17"/>
  <c r="F392" i="17"/>
  <c r="F393" i="17" s="1"/>
  <c r="F394" i="17" s="1"/>
  <c r="E758" i="17"/>
  <c r="G74" i="19"/>
  <c r="G75" i="19"/>
  <c r="G120" i="19"/>
  <c r="G119" i="19"/>
  <c r="G61" i="19"/>
  <c r="F1057" i="17"/>
  <c r="F1058" i="17"/>
  <c r="G164" i="19"/>
  <c r="G47" i="19"/>
  <c r="E36" i="17"/>
  <c r="F36" i="17"/>
  <c r="E64" i="17"/>
  <c r="F64" i="17"/>
  <c r="E55" i="17"/>
  <c r="F55" i="17"/>
  <c r="E45" i="17"/>
  <c r="F45" i="17"/>
  <c r="E178" i="17"/>
  <c r="F178" i="17"/>
  <c r="G14" i="19"/>
  <c r="E693" i="17"/>
  <c r="F693" i="17"/>
  <c r="E646" i="17"/>
  <c r="F646" i="17"/>
  <c r="E580" i="17"/>
  <c r="F580" i="17"/>
  <c r="E471" i="17"/>
  <c r="F471" i="17"/>
  <c r="E700" i="17"/>
  <c r="F700" i="17"/>
  <c r="E541" i="17"/>
  <c r="F541" i="17"/>
  <c r="E466" i="17"/>
  <c r="F466" i="17"/>
  <c r="E631" i="17"/>
  <c r="F631" i="17"/>
  <c r="E554" i="17"/>
  <c r="F554" i="17"/>
  <c r="E625" i="17"/>
  <c r="F625" i="17"/>
  <c r="E639" i="17"/>
  <c r="F639" i="17"/>
  <c r="E339" i="17"/>
  <c r="F339" i="17"/>
  <c r="E477" i="17"/>
  <c r="F477" i="17"/>
  <c r="E535" i="17"/>
  <c r="F535" i="17"/>
  <c r="E979" i="17"/>
  <c r="E345" i="17"/>
  <c r="F345" i="17"/>
  <c r="E242" i="17"/>
  <c r="F242" i="17"/>
  <c r="E764" i="17"/>
  <c r="F758" i="17"/>
  <c r="E35" i="17"/>
  <c r="F35" i="17"/>
  <c r="E177" i="17"/>
  <c r="F177" i="17"/>
  <c r="E63" i="17"/>
  <c r="F63" i="17"/>
  <c r="E44" i="17"/>
  <c r="F44" i="17"/>
  <c r="E54" i="17"/>
  <c r="F54" i="17"/>
  <c r="E78" i="17"/>
  <c r="F78" i="17"/>
  <c r="E87" i="17"/>
  <c r="F87" i="17"/>
  <c r="F411" i="17"/>
  <c r="F413" i="17"/>
  <c r="F412" i="17"/>
  <c r="E961" i="17"/>
  <c r="F961" i="17"/>
  <c r="F960" i="17"/>
  <c r="E971" i="17"/>
  <c r="F971" i="17"/>
  <c r="F325" i="17"/>
  <c r="E736" i="17"/>
  <c r="F356" i="17"/>
  <c r="F357" i="17"/>
  <c r="G126" i="19"/>
  <c r="G72" i="19"/>
  <c r="G46" i="19"/>
  <c r="G151" i="19"/>
  <c r="G62" i="19"/>
  <c r="G20" i="19"/>
  <c r="G277" i="19"/>
  <c r="G21" i="19"/>
  <c r="F91" i="17"/>
  <c r="F92" i="17"/>
  <c r="G269" i="19"/>
  <c r="F764" i="17"/>
  <c r="E771" i="17"/>
  <c r="F771" i="17"/>
  <c r="F49" i="17"/>
  <c r="F50" i="17"/>
  <c r="G143" i="19"/>
  <c r="G174" i="19"/>
  <c r="G270" i="19"/>
  <c r="F68" i="17"/>
  <c r="F69" i="17"/>
  <c r="E186" i="17"/>
  <c r="F186" i="17"/>
  <c r="F189" i="17"/>
  <c r="E989" i="17"/>
  <c r="F979" i="17"/>
  <c r="F736" i="17"/>
  <c r="E744" i="17"/>
  <c r="F744" i="17"/>
  <c r="F59" i="17"/>
  <c r="F60" i="17"/>
  <c r="G177" i="19"/>
  <c r="F182" i="17"/>
  <c r="F183" i="17"/>
  <c r="F83" i="17"/>
  <c r="F84" i="17"/>
  <c r="G76" i="19"/>
  <c r="F40" i="17"/>
  <c r="F41" i="17"/>
  <c r="E104" i="17"/>
  <c r="F104" i="17"/>
  <c r="F109" i="17"/>
  <c r="E146" i="17"/>
  <c r="F146" i="17"/>
  <c r="F148" i="17"/>
  <c r="E140" i="17"/>
  <c r="F140" i="17"/>
  <c r="F143" i="17"/>
  <c r="E134" i="17"/>
  <c r="F134" i="17"/>
  <c r="F137" i="17"/>
  <c r="E230" i="17"/>
  <c r="F230" i="17"/>
  <c r="E207" i="17"/>
  <c r="F207" i="17"/>
  <c r="F209" i="17"/>
  <c r="E252" i="17"/>
  <c r="F252" i="17"/>
  <c r="E95" i="17"/>
  <c r="E195" i="17"/>
  <c r="F195" i="17"/>
  <c r="E229" i="17"/>
  <c r="F229" i="17"/>
  <c r="F989" i="17"/>
  <c r="E996" i="17"/>
  <c r="F996" i="17"/>
  <c r="E1011" i="17"/>
  <c r="F1011" i="17"/>
  <c r="G144" i="19"/>
  <c r="G171" i="19"/>
  <c r="G173" i="19"/>
  <c r="G273" i="19"/>
  <c r="G280" i="19"/>
  <c r="G158" i="19"/>
  <c r="G178" i="19"/>
  <c r="G146" i="19"/>
  <c r="E313" i="17"/>
  <c r="F313" i="17"/>
  <c r="F316" i="17"/>
  <c r="E319" i="17"/>
  <c r="F319" i="17"/>
  <c r="F321" i="17"/>
  <c r="E735" i="17"/>
  <c r="E324" i="17"/>
  <c r="F324" i="17"/>
  <c r="F327" i="17"/>
  <c r="E330" i="17"/>
  <c r="F330" i="17"/>
  <c r="F333" i="17"/>
  <c r="E219" i="17"/>
  <c r="F219" i="17"/>
  <c r="E699" i="17"/>
  <c r="F699" i="17"/>
  <c r="F702" i="17"/>
  <c r="E970" i="17"/>
  <c r="F970" i="17"/>
  <c r="F972" i="17"/>
  <c r="F973" i="17"/>
  <c r="F61" i="17"/>
  <c r="E534" i="17"/>
  <c r="F534" i="17"/>
  <c r="F537" i="17"/>
  <c r="E572" i="17"/>
  <c r="F572" i="17"/>
  <c r="F575" i="17"/>
  <c r="E576" i="17"/>
  <c r="F576" i="17"/>
  <c r="E274" i="17"/>
  <c r="F274" i="17"/>
  <c r="F276" i="17"/>
  <c r="E284" i="17"/>
  <c r="F284" i="17"/>
  <c r="E652" i="17"/>
  <c r="F652" i="17"/>
  <c r="F655" i="17"/>
  <c r="E157" i="17"/>
  <c r="F157" i="17"/>
  <c r="F159" i="17"/>
  <c r="F160" i="17"/>
  <c r="E560" i="17"/>
  <c r="F560" i="17"/>
  <c r="F563" i="17"/>
  <c r="E291" i="17"/>
  <c r="F291" i="17"/>
  <c r="F294" i="17"/>
  <c r="E295" i="17"/>
  <c r="F295" i="17"/>
  <c r="E269" i="17"/>
  <c r="F269" i="17"/>
  <c r="E624" i="17"/>
  <c r="F624" i="17"/>
  <c r="F627" i="17"/>
  <c r="E679" i="17"/>
  <c r="F679" i="17"/>
  <c r="F681" i="17"/>
  <c r="E658" i="17"/>
  <c r="F658" i="17"/>
  <c r="F661" i="17"/>
  <c r="E566" i="17"/>
  <c r="F566" i="17"/>
  <c r="F569" i="17"/>
  <c r="H569" i="17"/>
  <c r="E476" i="17"/>
  <c r="F476" i="17"/>
  <c r="F479" i="17"/>
  <c r="E480" i="17"/>
  <c r="F480" i="17"/>
  <c r="F482" i="17"/>
  <c r="E460" i="17"/>
  <c r="F460" i="17"/>
  <c r="E666" i="17"/>
  <c r="F666" i="17"/>
  <c r="F668" i="17"/>
  <c r="E1010" i="17"/>
  <c r="F1010" i="17"/>
  <c r="F1013" i="17"/>
  <c r="E1019" i="17"/>
  <c r="F1019" i="17"/>
  <c r="E241" i="17"/>
  <c r="F241" i="17"/>
  <c r="F244" i="17"/>
  <c r="E250" i="17"/>
  <c r="F250" i="17"/>
  <c r="E344" i="17"/>
  <c r="F344" i="17"/>
  <c r="F347" i="17"/>
  <c r="E978" i="17"/>
  <c r="E686" i="17"/>
  <c r="F686" i="17"/>
  <c r="F689" i="17"/>
  <c r="E547" i="17"/>
  <c r="F547" i="17"/>
  <c r="F550" i="17"/>
  <c r="E470" i="17"/>
  <c r="F470" i="17"/>
  <c r="F473" i="17"/>
  <c r="E450" i="17"/>
  <c r="F450" i="17"/>
  <c r="E671" i="17"/>
  <c r="F671" i="17"/>
  <c r="F674" i="17"/>
  <c r="G150" i="19"/>
  <c r="E645" i="17"/>
  <c r="F645" i="17"/>
  <c r="F649" i="17"/>
  <c r="E579" i="17"/>
  <c r="F579" i="17"/>
  <c r="F583" i="17"/>
  <c r="E638" i="17"/>
  <c r="F638" i="17"/>
  <c r="F642" i="17"/>
  <c r="E540" i="17"/>
  <c r="F540" i="17"/>
  <c r="F544" i="17"/>
  <c r="E338" i="17"/>
  <c r="F338" i="17"/>
  <c r="F341" i="17"/>
  <c r="F51" i="17"/>
  <c r="E553" i="17"/>
  <c r="F553" i="17"/>
  <c r="F557" i="17"/>
  <c r="E279" i="17"/>
  <c r="F279" i="17"/>
  <c r="F282" i="17"/>
  <c r="E283" i="17"/>
  <c r="F283" i="17"/>
  <c r="E630" i="17"/>
  <c r="F630" i="17"/>
  <c r="F634" i="17"/>
  <c r="E692" i="17"/>
  <c r="F692" i="17"/>
  <c r="F696" i="17"/>
  <c r="E465" i="17"/>
  <c r="F465" i="17"/>
  <c r="F467" i="17"/>
  <c r="E449" i="17"/>
  <c r="F449" i="17"/>
  <c r="E127" i="17"/>
  <c r="F127" i="17"/>
  <c r="F131" i="17"/>
  <c r="E719" i="17"/>
  <c r="F719" i="17"/>
  <c r="E117" i="17"/>
  <c r="E194" i="17"/>
  <c r="F194" i="17"/>
  <c r="F200" i="17"/>
  <c r="G118" i="19"/>
  <c r="E799" i="17"/>
  <c r="F95" i="17"/>
  <c r="F99" i="17"/>
  <c r="G157" i="19"/>
  <c r="E988" i="17"/>
  <c r="F978" i="17"/>
  <c r="F981" i="17"/>
  <c r="E983" i="17"/>
  <c r="F983" i="17"/>
  <c r="F984" i="17"/>
  <c r="G60" i="19"/>
  <c r="G147" i="19"/>
  <c r="E743" i="17"/>
  <c r="F735" i="17"/>
  <c r="F738" i="17"/>
  <c r="E212" i="17"/>
  <c r="F212" i="17"/>
  <c r="F202" i="17"/>
  <c r="E453" i="17"/>
  <c r="F453" i="17"/>
  <c r="F201" i="17"/>
  <c r="E1020" i="17"/>
  <c r="F1020" i="17"/>
  <c r="E251" i="17"/>
  <c r="F251" i="17"/>
  <c r="G149" i="19"/>
  <c r="E779" i="17"/>
  <c r="F117" i="17"/>
  <c r="F122" i="17"/>
  <c r="E286" i="17"/>
  <c r="F286" i="17"/>
  <c r="E233" i="17"/>
  <c r="F233" i="17"/>
  <c r="F235" i="17"/>
  <c r="E214" i="17"/>
  <c r="F214" i="17"/>
  <c r="E222" i="17"/>
  <c r="F222" i="17"/>
  <c r="E457" i="17"/>
  <c r="F457" i="17"/>
  <c r="E1002" i="17"/>
  <c r="F1002" i="17"/>
  <c r="E812" i="17"/>
  <c r="F812" i="17"/>
  <c r="F724" i="17"/>
  <c r="F223" i="17"/>
  <c r="G154" i="19"/>
  <c r="G145" i="19"/>
  <c r="G182" i="19"/>
  <c r="G117" i="19"/>
  <c r="G275" i="19"/>
  <c r="F110" i="17"/>
  <c r="F112" i="17"/>
  <c r="F114" i="17"/>
  <c r="F236" i="17"/>
  <c r="F237" i="17"/>
  <c r="C225" i="17"/>
  <c r="C224" i="17"/>
  <c r="C226" i="17"/>
  <c r="F743" i="17"/>
  <c r="F745" i="17"/>
  <c r="E749" i="17"/>
  <c r="G276" i="19"/>
  <c r="G261" i="19"/>
  <c r="E809" i="17"/>
  <c r="F799" i="17"/>
  <c r="F803" i="17"/>
  <c r="E791" i="17"/>
  <c r="F791" i="17"/>
  <c r="F795" i="17"/>
  <c r="F779" i="17"/>
  <c r="F784" i="17"/>
  <c r="F785" i="17"/>
  <c r="F786" i="17"/>
  <c r="F101" i="17"/>
  <c r="E1032" i="17"/>
  <c r="F1032" i="17"/>
  <c r="F1036" i="17"/>
  <c r="F1037" i="17"/>
  <c r="E456" i="17"/>
  <c r="F456" i="17"/>
  <c r="E1001" i="17"/>
  <c r="F1001" i="17"/>
  <c r="E285" i="17"/>
  <c r="F285" i="17"/>
  <c r="F288" i="17"/>
  <c r="E261" i="17"/>
  <c r="F261" i="17"/>
  <c r="F267" i="17"/>
  <c r="F100" i="17"/>
  <c r="E213" i="17"/>
  <c r="F213" i="17"/>
  <c r="F111" i="17"/>
  <c r="F113" i="17"/>
  <c r="E458" i="17"/>
  <c r="F458" i="17"/>
  <c r="F123" i="17"/>
  <c r="F124" i="17"/>
  <c r="G155" i="19"/>
  <c r="F215" i="17"/>
  <c r="F988" i="17"/>
  <c r="F991" i="17"/>
  <c r="C993" i="17"/>
  <c r="E995" i="17"/>
  <c r="F995" i="17"/>
  <c r="F997" i="17"/>
  <c r="C999" i="17"/>
  <c r="E1000" i="17"/>
  <c r="F1000" i="17"/>
  <c r="F1004" i="17"/>
  <c r="E1005" i="17"/>
  <c r="G186" i="19"/>
  <c r="F268" i="17"/>
  <c r="F270" i="17"/>
  <c r="F271" i="17"/>
  <c r="G49" i="19"/>
  <c r="G263" i="19"/>
  <c r="E824" i="17"/>
  <c r="F824" i="17"/>
  <c r="F827" i="17"/>
  <c r="F809" i="17"/>
  <c r="F814" i="17"/>
  <c r="F805" i="17"/>
  <c r="F804" i="17"/>
  <c r="G287" i="19"/>
  <c r="E757" i="17"/>
  <c r="F749" i="17"/>
  <c r="F752" i="17"/>
  <c r="E753" i="17"/>
  <c r="F753" i="17"/>
  <c r="G187" i="19"/>
  <c r="F462" i="17"/>
  <c r="G183" i="19"/>
  <c r="G185" i="19"/>
  <c r="G156" i="19"/>
  <c r="G264" i="19"/>
  <c r="E763" i="17"/>
  <c r="F757" i="17"/>
  <c r="F759" i="17"/>
  <c r="E835" i="17"/>
  <c r="F815" i="17"/>
  <c r="F817" i="17"/>
  <c r="F819" i="17"/>
  <c r="G265" i="19"/>
  <c r="F835" i="17"/>
  <c r="F838" i="17"/>
  <c r="E844" i="17"/>
  <c r="F844" i="17"/>
  <c r="F861" i="17"/>
  <c r="E868" i="17"/>
  <c r="E770" i="17"/>
  <c r="F770" i="17"/>
  <c r="F774" i="17"/>
  <c r="F763" i="17"/>
  <c r="F766" i="17"/>
  <c r="E886" i="17"/>
  <c r="F886" i="17"/>
  <c r="F816" i="17"/>
  <c r="F818" i="17"/>
  <c r="F862" i="17"/>
  <c r="G266" i="19"/>
  <c r="F868" i="17"/>
  <c r="F870" i="17"/>
  <c r="E878" i="17"/>
  <c r="F878" i="17"/>
  <c r="E873" i="17"/>
  <c r="E885" i="17"/>
  <c r="F885" i="17"/>
  <c r="F888" i="17"/>
  <c r="E889" i="17"/>
  <c r="F889" i="17"/>
  <c r="E863" i="17"/>
  <c r="F863" i="17"/>
  <c r="F864" i="17"/>
  <c r="F865" i="17"/>
  <c r="F873" i="17"/>
  <c r="F876" i="17"/>
  <c r="E877" i="17"/>
  <c r="F877" i="17"/>
  <c r="F882" i="17"/>
  <c r="G32" i="19"/>
  <c r="G278" i="19"/>
  <c r="G172" i="19"/>
  <c r="G184" i="19"/>
  <c r="G79" i="19"/>
  <c r="G69" i="19"/>
  <c r="G137" i="19"/>
  <c r="G181" i="19"/>
  <c r="G279" i="19"/>
  <c r="G274" i="19"/>
  <c r="G19" i="19"/>
  <c r="G17" i="19"/>
  <c r="G59" i="19"/>
  <c r="G136" i="19"/>
  <c r="G262" i="19"/>
  <c r="G260" i="19"/>
  <c r="F346" i="19"/>
  <c r="F348" i="19"/>
  <c r="F350" i="19"/>
  <c r="G326" i="19" l="1"/>
  <c r="F607" i="17"/>
</calcChain>
</file>

<file path=xl/sharedStrings.xml><?xml version="1.0" encoding="utf-8"?>
<sst xmlns="http://schemas.openxmlformats.org/spreadsheetml/2006/main" count="2164" uniqueCount="896">
  <si>
    <t>INSTITUTO NACIONAL DE AGUAS POTABLES Y ALCANTARILLADOS</t>
  </si>
  <si>
    <t xml:space="preserve">* * * INAPA * * * </t>
  </si>
  <si>
    <t>DIRECCION DE INGENIERIA</t>
  </si>
  <si>
    <t>DEPARTAMENTO DE EVALUACION DE COSTOS DE OBRAS</t>
  </si>
  <si>
    <t>Analisis: PRES. xxx d/f 12/03/2013</t>
  </si>
  <si>
    <t>Obra: ACUEDUCTO CANOA EXTE. A AC. ASURO</t>
  </si>
  <si>
    <t>Rec. No.</t>
  </si>
  <si>
    <t>Ubicación: SAN CRISTOBAL</t>
  </si>
  <si>
    <t>Zona:</t>
  </si>
  <si>
    <t>IV</t>
  </si>
  <si>
    <t>Contratista:</t>
  </si>
  <si>
    <t>Contrato:</t>
  </si>
  <si>
    <t>DESCRIPCION</t>
  </si>
  <si>
    <t>CANTIDAD</t>
  </si>
  <si>
    <t>UD</t>
  </si>
  <si>
    <t>PRECIO UNIT.</t>
  </si>
  <si>
    <t>VALOR</t>
  </si>
  <si>
    <t>AGUA</t>
  </si>
  <si>
    <t>GL</t>
  </si>
  <si>
    <t>CEMENTO GRIS PUESTO EN OBRA</t>
  </si>
  <si>
    <t>FDA</t>
  </si>
  <si>
    <t>CAL</t>
  </si>
  <si>
    <t>ARENA</t>
  </si>
  <si>
    <t>M3</t>
  </si>
  <si>
    <t>GRAVA</t>
  </si>
  <si>
    <t>ARENA PARA PAÑETE</t>
  </si>
  <si>
    <t>ACERO PUESTO EN OBRA</t>
  </si>
  <si>
    <t>QQ</t>
  </si>
  <si>
    <t xml:space="preserve">TRANSPORTE </t>
  </si>
  <si>
    <t>KM</t>
  </si>
  <si>
    <t>TRANSPORTE DESDE YAGUATE</t>
  </si>
  <si>
    <t xml:space="preserve">AGREGADO ( ARENA ) </t>
  </si>
  <si>
    <t>MATERIALES</t>
  </si>
  <si>
    <t>TRANSPORTE</t>
  </si>
  <si>
    <t>MANEJO EN OBRA</t>
  </si>
  <si>
    <t>COSTO/M3 DE AGREGADO   R.D$</t>
  </si>
  <si>
    <t xml:space="preserve">AGREGADO ( GRAVA ) </t>
  </si>
  <si>
    <t>H.S. PARA F'C= 240 KGS/CM2</t>
  </si>
  <si>
    <t>CEMENTO</t>
  </si>
  <si>
    <t>FDAS</t>
  </si>
  <si>
    <t>GLS</t>
  </si>
  <si>
    <t>LIGADO Y VACIADO</t>
  </si>
  <si>
    <t>DESPERDICIO 2%</t>
  </si>
  <si>
    <t>R.D.$</t>
  </si>
  <si>
    <t>H.S. PARA F'C= 210 KGS/CM2</t>
  </si>
  <si>
    <t>H.S. PARA F'C= 210 KGS/CM2 PARA L PQÑ</t>
  </si>
  <si>
    <t>H.S. PARA F'C= 180 KGS/CM2</t>
  </si>
  <si>
    <t>H.S./fondo</t>
  </si>
  <si>
    <t>H.S. PARA F'C=140 KGS/CM2</t>
  </si>
  <si>
    <t>ARENA  P/ PAÑETE</t>
  </si>
  <si>
    <t>COSTO EN PLANTA</t>
  </si>
  <si>
    <t>M0RTERO PARA PAÑETE 1:4</t>
  </si>
  <si>
    <t>LIGADO</t>
  </si>
  <si>
    <t>DIA</t>
  </si>
  <si>
    <t>DESPERDICIO 3%</t>
  </si>
  <si>
    <t xml:space="preserve"> </t>
  </si>
  <si>
    <t>MORTERO PARA FINO 1:3</t>
  </si>
  <si>
    <t xml:space="preserve">ARENA </t>
  </si>
  <si>
    <t>PAÑETE EXTERIOR</t>
  </si>
  <si>
    <t>MORTERO 1:4 +30% DESP.</t>
  </si>
  <si>
    <t>REGLA</t>
  </si>
  <si>
    <t>P2</t>
  </si>
  <si>
    <t>ANDAMIOS</t>
  </si>
  <si>
    <t>PA</t>
  </si>
  <si>
    <t>MANO DE OBRA</t>
  </si>
  <si>
    <t>M2</t>
  </si>
  <si>
    <t>CON ADICTIVO</t>
  </si>
  <si>
    <t>CON IMPERMEABILIZANTE</t>
  </si>
  <si>
    <t>PAÑETE INTERIOR PULIDO</t>
  </si>
  <si>
    <t>MORTERO 1:4+30 % DESP</t>
  </si>
  <si>
    <t>CEMENTO 2DA CAPA</t>
  </si>
  <si>
    <t>MANO DE OBRA PAÑETE Y PULIDO</t>
  </si>
  <si>
    <t>PAÑETE INTERIOR --------------------------------------</t>
  </si>
  <si>
    <t>PAÑETE INTERIOR C / ADITIVO ---------------------</t>
  </si>
  <si>
    <t>PAÑETE INTERIOR PULIDO C / ADITIVO ------</t>
  </si>
  <si>
    <t>PAÑETE INTERIOR C / IMPERM.--------------------</t>
  </si>
  <si>
    <t>PAÑETE INTERIOR PULIDO C / IMPERM------</t>
  </si>
  <si>
    <t>FINO LOSA DE FONDO</t>
  </si>
  <si>
    <t>MORTERO 1:3+ 25%DESP.</t>
  </si>
  <si>
    <t>BAJADA MAT.</t>
  </si>
  <si>
    <t xml:space="preserve">   </t>
  </si>
  <si>
    <t>RD-$</t>
  </si>
  <si>
    <t>FINO LOSA DE FONDO PULIDO --------------------</t>
  </si>
  <si>
    <t>FINO LOSA DE FONDO PULIDO C/ADITIVO----</t>
  </si>
  <si>
    <t>FINO LOSA DE TECHO</t>
  </si>
  <si>
    <t>MORTERO 1:3+DESP.</t>
  </si>
  <si>
    <t>SUBIDA MAT.</t>
  </si>
  <si>
    <t>CANTOS</t>
  </si>
  <si>
    <t>MORTERO 1:4+DESP.</t>
  </si>
  <si>
    <t>M</t>
  </si>
  <si>
    <t>RD$</t>
  </si>
  <si>
    <t>RESANE</t>
  </si>
  <si>
    <t>MORTERO 1:4  + 30% DESP.</t>
  </si>
  <si>
    <t>REGLA (1 DE 1"x 4" x 10' / 100 USOS ).</t>
  </si>
  <si>
    <t xml:space="preserve">CARETEO </t>
  </si>
  <si>
    <t>MORTEO 1:4 PARA EMPAÑETE + 30% DESP. DESP. (5MM ESPESOR)</t>
  </si>
  <si>
    <t>MANO DE OBRA.</t>
  </si>
  <si>
    <t>COSTO /M2</t>
  </si>
  <si>
    <t>IMPERMEABILIZANTE ( REND, 20 M2/GL )</t>
  </si>
  <si>
    <t>P.U GALON RD$</t>
  </si>
  <si>
    <t>IMPERMEABILIZANTE SUPRAWELD + 20%</t>
  </si>
  <si>
    <t>APLICACION  ( DOS MANOS )</t>
  </si>
  <si>
    <t>HERRAMIENTAS 3%</t>
  </si>
  <si>
    <t>P.A.</t>
  </si>
  <si>
    <t>COSTO / M2</t>
  </si>
  <si>
    <t>ZABALETA 0.15 x 0.15</t>
  </si>
  <si>
    <t>H.S. 180 KG/cm²</t>
  </si>
  <si>
    <t>M.O.</t>
  </si>
  <si>
    <t>ML</t>
  </si>
  <si>
    <t>COSTO/M3  R.D$</t>
  </si>
  <si>
    <t>COSTO/M.L  R.D$</t>
  </si>
  <si>
    <t>ACERO P/ZAPATA DE MURO, VIGAS Y COLUMNAS</t>
  </si>
  <si>
    <t xml:space="preserve">SUMINISTRO </t>
  </si>
  <si>
    <t>ACERO</t>
  </si>
  <si>
    <t>ALAMBRE NO.18.  2 LIB.XQQ</t>
  </si>
  <si>
    <t>LB</t>
  </si>
  <si>
    <t>ACERO GENERAL</t>
  </si>
  <si>
    <t>ANALISIS MUROS DE BLOQUES</t>
  </si>
  <si>
    <t>HORMIGON P/CAMARA BLOQUES 1:3:5</t>
  </si>
  <si>
    <t>CEMENTO GRIS</t>
  </si>
  <si>
    <t xml:space="preserve">MANO DE OBRA MEZCLADO </t>
  </si>
  <si>
    <t xml:space="preserve">DESPERDICIO 3%  </t>
  </si>
  <si>
    <t>HORMIGON CICLOPEO</t>
  </si>
  <si>
    <t>H.S. 140KG/CM2 + 5% DESP.</t>
  </si>
  <si>
    <t>PIEDRA CALIZA</t>
  </si>
  <si>
    <t>MURO DE BLOQUES DE 6"</t>
  </si>
  <si>
    <t>SUM.DE BLOQUE 6"</t>
  </si>
  <si>
    <t>U</t>
  </si>
  <si>
    <t>COLOCACION BLOQUES 6"</t>
  </si>
  <si>
    <t>MORTERO P/JUNTA+30%DESP.</t>
  </si>
  <si>
    <t>HORM.EN CAMARA +10%DESP.</t>
  </si>
  <si>
    <t>ACERO 3/8"+20%DESP</t>
  </si>
  <si>
    <t>ANDAMIOS P/BLOQUES</t>
  </si>
  <si>
    <t>CONFECCION ANDAMIOS</t>
  </si>
  <si>
    <t xml:space="preserve">LLENADO HUECOS </t>
  </si>
  <si>
    <r>
      <t xml:space="preserve">  </t>
    </r>
    <r>
      <rPr>
        <b/>
        <sz val="10"/>
        <color indexed="12"/>
        <rFont val="Arial"/>
        <family val="2"/>
      </rPr>
      <t>SNP</t>
    </r>
    <r>
      <rPr>
        <b/>
        <sz val="10"/>
        <rFont val="Arial"/>
        <family val="2"/>
      </rPr>
      <t xml:space="preserve"> COSTO/M2R.D.$</t>
    </r>
  </si>
  <si>
    <t xml:space="preserve">  A CAMARA LLENA COSTO / M2R.D.$</t>
  </si>
  <si>
    <r>
      <t xml:space="preserve">  </t>
    </r>
    <r>
      <rPr>
        <b/>
        <sz val="10"/>
        <color indexed="12"/>
        <rFont val="Arial"/>
        <family val="2"/>
      </rPr>
      <t>BNP</t>
    </r>
    <r>
      <rPr>
        <b/>
        <sz val="10"/>
        <rFont val="Arial"/>
        <family val="2"/>
      </rPr>
      <t xml:space="preserve"> COSTO / M2R.D.$</t>
    </r>
  </si>
  <si>
    <t>BLOQUES CALADOS</t>
  </si>
  <si>
    <t>SUMINISTRO BLOQUES</t>
  </si>
  <si>
    <t xml:space="preserve">COLOCACION BLOQUES </t>
  </si>
  <si>
    <t xml:space="preserve">MEZCLA P/PAÑETE </t>
  </si>
  <si>
    <t xml:space="preserve">DESP. BLOQUES </t>
  </si>
  <si>
    <t>ANTEPECHO</t>
  </si>
  <si>
    <t>MURO DE BLOCK 6"</t>
  </si>
  <si>
    <t>PAÑETE</t>
  </si>
  <si>
    <t>ACERA PERIMETRAL 0.80</t>
  </si>
  <si>
    <t>PREPARACION DE TERRENO</t>
  </si>
  <si>
    <t>H.S. 180KG/CM2+5% DESP.</t>
  </si>
  <si>
    <t xml:space="preserve">ELABORACION VACIADO Y FROTADO </t>
  </si>
  <si>
    <t xml:space="preserve">CANTOS LATERALES </t>
  </si>
  <si>
    <t>ACERA PERIMETRAL 0.40</t>
  </si>
  <si>
    <t>ACERA PERIMETRAL 0.60</t>
  </si>
  <si>
    <t>ACERA PERIMETRAL 1.00</t>
  </si>
  <si>
    <t>PISO HORMIGON SIMPLE PULIDO NATURAL</t>
  </si>
  <si>
    <t>HORMIGON 1:3:5</t>
  </si>
  <si>
    <t>MORTERO 1:4</t>
  </si>
  <si>
    <t xml:space="preserve">ELAB. VAC. FROT. Y VIOL. </t>
  </si>
  <si>
    <t>CEMENTO GRIS PULIDO</t>
  </si>
  <si>
    <t>PISO H.S PULIDO A COLOR</t>
  </si>
  <si>
    <t>LBS</t>
  </si>
  <si>
    <t>PISO H.S FROTADO</t>
  </si>
  <si>
    <t>VERJA DE MALLA CICLONICA, LONGITUD DE ANALISIS L=12.00</t>
  </si>
  <si>
    <t>ZAPATA DE MURO  P/VERJA-0.20   0.60 QQ/M3</t>
  </si>
  <si>
    <t xml:space="preserve">K ACERO </t>
  </si>
  <si>
    <t>REPLANTEO</t>
  </si>
  <si>
    <t xml:space="preserve">EXCAVACION </t>
  </si>
  <si>
    <t>RELLENO</t>
  </si>
  <si>
    <t>BOTE</t>
  </si>
  <si>
    <t>ZAPATA DE MURO 0.60 qq/M3</t>
  </si>
  <si>
    <t>BLOCK 6" ( 3 LINEA )</t>
  </si>
  <si>
    <t>LOMO DE PERRO</t>
  </si>
  <si>
    <t>TUBO 1 1/2"X15' H.G.</t>
  </si>
  <si>
    <t>TUBO 1 1/4"X20' H.G.</t>
  </si>
  <si>
    <t>MALLA CICLONICA No.9</t>
  </si>
  <si>
    <t>COPA DE 2"</t>
  </si>
  <si>
    <t>COPA DE 1 1/2"</t>
  </si>
  <si>
    <t>PALOMETA DOBLE</t>
  </si>
  <si>
    <t>ALAMBRE DE PUAS</t>
  </si>
  <si>
    <t>ALAMBRE DULCE NO.18</t>
  </si>
  <si>
    <t xml:space="preserve">PAÑETE MURO </t>
  </si>
  <si>
    <t>PINTURA VERJA , PALOMETAS, TUBOS , ALAMBRES Y DESP.</t>
  </si>
  <si>
    <t xml:space="preserve">PLANCHUELAS 1 x 1/8 </t>
  </si>
  <si>
    <t>ABRAZADERAS 1 1/2 METAL</t>
  </si>
  <si>
    <t>PINTURA LOMO DE PERRO Y MURO</t>
  </si>
  <si>
    <t>TOTAL GENERAL ANAL.VERJA</t>
  </si>
  <si>
    <t>COSTO POR M/L</t>
  </si>
  <si>
    <t>COSTO P/M</t>
  </si>
  <si>
    <t>COLUMAS C1 (0.15x0.15) - 8.15 QQ/M3</t>
  </si>
  <si>
    <t>TOTAL GENERAL ANAL.VERJA C/ C1 INC.</t>
  </si>
  <si>
    <t>COSTO POR M/L C/ C1 INCLUIDA</t>
  </si>
  <si>
    <t>ZAPATA DE COLUMNAS - 1.14 QQ/M3</t>
  </si>
  <si>
    <t>COSTO P/M3</t>
  </si>
  <si>
    <t>COLUMNAS C2, P / LAS ESQUINAS - 3.63 QQ/M3</t>
  </si>
  <si>
    <t>H.S. 210 KG/CM2+5% DESP.</t>
  </si>
  <si>
    <t>ENC. Y DESEC.</t>
  </si>
  <si>
    <t xml:space="preserve">VOLUMEN C2 /UD = </t>
  </si>
  <si>
    <t>VOLUMNE ZAPATA DE COLUMNA</t>
  </si>
  <si>
    <t>PINTURA</t>
  </si>
  <si>
    <t>TOTAL COLUMNA C2 INC. ZAPATA</t>
  </si>
  <si>
    <t>COLUMNAS C1 0.15X0.15 - 8.15QQ/M3  F'C=180KG/CM2</t>
  </si>
  <si>
    <t>ENC.Y DESENC.</t>
  </si>
  <si>
    <t xml:space="preserve">VOLUMEN C1 /UD = </t>
  </si>
  <si>
    <t>PINTURA BASE BLANCA ( DURAFLEX DE TROPICAL ) SIN ANDAMIO :</t>
  </si>
  <si>
    <t>PINTURA (cubeta de 5gls=$650)</t>
  </si>
  <si>
    <t>APLICACION (dos manos).</t>
  </si>
  <si>
    <t>DESPERDICIOS Y RETOQUES.</t>
  </si>
  <si>
    <t>%</t>
  </si>
  <si>
    <t>COSTO P/M2 RD$</t>
  </si>
  <si>
    <t>PINTURA ACRILICA ECONOMICA SIN ANDAMIO :</t>
  </si>
  <si>
    <t>Pintura (cubeta de 5gls=$500)</t>
  </si>
  <si>
    <t>Aplicación (dos manos).</t>
  </si>
  <si>
    <t>Desperdicios y retoques.</t>
  </si>
  <si>
    <t xml:space="preserve"> EN DEPOSITO REGULADOR</t>
  </si>
  <si>
    <t>MUROS 0.15 - 3.01 QQ/M3</t>
  </si>
  <si>
    <t>H.S. 240 KG/CM2+5% DESP.</t>
  </si>
  <si>
    <t>LOSA DE FONDO 0.20 - 1.49 QQ/M3</t>
  </si>
  <si>
    <t>LOSA DE TECHO  0.10 - 1.09 QQ/M3</t>
  </si>
  <si>
    <t>BORDILLO H.A. PARA TAPA ( 0.15 x 0.10 ) - 1.40 QQ/M3</t>
  </si>
  <si>
    <t>H.S. 180 KG/CM2+5% DESP.</t>
  </si>
  <si>
    <t xml:space="preserve"> EN CASETA DE CLORACION</t>
  </si>
  <si>
    <t>DINTEL ( 0.15 x 0.20 ) - 0.10 QQ/M3</t>
  </si>
  <si>
    <t>LOSA DE TECHO  0.10 - 1.17 QQ/M3</t>
  </si>
  <si>
    <t>PUERTA DE HIERRO ( 2.10 x 0.90 ) M</t>
  </si>
  <si>
    <t>SUM. DE BARRAS DE ACERO ½" x ½"</t>
  </si>
  <si>
    <t xml:space="preserve">CORTES </t>
  </si>
  <si>
    <t>DIAS</t>
  </si>
  <si>
    <t>SORDADURAS</t>
  </si>
  <si>
    <t>PINTURA DE OXIDO ROJO</t>
  </si>
  <si>
    <t>PINTURA DE MANTENIMIENTO</t>
  </si>
  <si>
    <t>COSTO P/ U</t>
  </si>
  <si>
    <t>COSTO P/ M2</t>
  </si>
  <si>
    <t>COSTO P/ P2</t>
  </si>
  <si>
    <t>EQUIPOS DE CORTE Y SOLDADURA</t>
  </si>
  <si>
    <t>MOTOSOLDADORA</t>
  </si>
  <si>
    <t>ALQUILER DE MAQUINA</t>
  </si>
  <si>
    <t>SOLDADOR</t>
  </si>
  <si>
    <t>AYUIDANTES ( 2 H ) @ 900.00/H/DIA</t>
  </si>
  <si>
    <t>COMBUSTIBLE (GASOLINA) ( 0.06 x.HP.x 8 )</t>
  </si>
  <si>
    <t>LUBRICANTE 20% DEL COMBUSTIBLE</t>
  </si>
  <si>
    <t>HERRAMIENTAS</t>
  </si>
  <si>
    <t>COSTO P/DIA</t>
  </si>
  <si>
    <t>COSTO P/ HR</t>
  </si>
  <si>
    <t>EQUIPO DE CORTES</t>
  </si>
  <si>
    <t>EQUIPO DE CORTE</t>
  </si>
  <si>
    <t>OXIGENO</t>
  </si>
  <si>
    <t>CIL</t>
  </si>
  <si>
    <t>GAS PROPANO DE 100 LB ( 22.5 GLS )</t>
  </si>
  <si>
    <t>MOVIMIENTOS DE TIERRA</t>
  </si>
  <si>
    <t xml:space="preserve">EXC. MATERIAL NO CLASIFICADO A MANO </t>
  </si>
  <si>
    <t xml:space="preserve"> (REND. = 36.60 M3/DIA = 4.575 M3/HR)</t>
  </si>
  <si>
    <t>MAESTRO RD$ 1,500.00/DIA</t>
  </si>
  <si>
    <t>HR</t>
  </si>
  <si>
    <t>PEON (10  @ RD$ 650 P/DIA C/U)</t>
  </si>
  <si>
    <t>HERRAMIENTAS ( 3% DE M.O.)</t>
  </si>
  <si>
    <t>REND.</t>
  </si>
  <si>
    <t>M3/HR</t>
  </si>
  <si>
    <t xml:space="preserve">EXC. MATERIAL COMPACTADO NO CLASIFICADO A MANO </t>
  </si>
  <si>
    <t>PEON (10  @ RD$650 P/DIA C/U)</t>
  </si>
  <si>
    <t>EXC. MATERIAL NO CLASIFICADO C / EQUIPO ( RETRO PALA, 416 )</t>
  </si>
  <si>
    <t>ALQUILER DE CAT 416</t>
  </si>
  <si>
    <t xml:space="preserve">COMBUSTIBLE </t>
  </si>
  <si>
    <t>GL / H</t>
  </si>
  <si>
    <t>LUBRICANTE</t>
  </si>
  <si>
    <t>X</t>
  </si>
  <si>
    <t>OPERARIO RD% 1,300.00 / DIA</t>
  </si>
  <si>
    <t>COSTO P/HR</t>
  </si>
  <si>
    <t>RENDIMIENTO</t>
  </si>
  <si>
    <t>M3 / H</t>
  </si>
  <si>
    <t xml:space="preserve">EXC. MATERIAL NO CLASIF. C/EQUIPO ( RETRO Cat 320 ) </t>
  </si>
  <si>
    <t>GL/H</t>
  </si>
  <si>
    <t>LUBRICANTE 20%</t>
  </si>
  <si>
    <t>OPERARIO RD$ 1,300.00 /DIA</t>
  </si>
  <si>
    <t>CUÑAS Y PIEZAS</t>
  </si>
  <si>
    <t>ALQUILER DE CAT 320</t>
  </si>
  <si>
    <t>TIERRA</t>
  </si>
  <si>
    <t>CALICHE COMPACTO</t>
  </si>
  <si>
    <t xml:space="preserve">CORTE C/EQUIPO ( TRACTOR D-8-K ) </t>
  </si>
  <si>
    <t>SUM. Y COL.  DE ASIENTO DE ARENA</t>
  </si>
  <si>
    <t>REND</t>
  </si>
  <si>
    <t>M3          PEONES</t>
  </si>
  <si>
    <t>SUMINISTRO DE ARENA</t>
  </si>
  <si>
    <t>COLOCACION ( 2 PEONES ) @ 650.00</t>
  </si>
  <si>
    <t>CORTE Y DESBROSE</t>
  </si>
  <si>
    <t>MAESTRO @ 1,500.00 /DIA ( 1U )</t>
  </si>
  <si>
    <t>PEONES @ 650.00 /DIA ( 5 U )</t>
  </si>
  <si>
    <t>HERRAMIENTAS MENORES 3%</t>
  </si>
  <si>
    <t>COSTO TOTAL RD$</t>
  </si>
  <si>
    <t>COSTO / DIA RD$</t>
  </si>
  <si>
    <t>COSTO / M2 RD$</t>
  </si>
  <si>
    <t>REGISTRO PARA VALVULAS</t>
  </si>
  <si>
    <t>REGISTRO DE BLOCK PARA VALVULA DE Ø3"( 1.30x1.30x1.40 )</t>
  </si>
  <si>
    <t>PRELIMINARES</t>
  </si>
  <si>
    <t xml:space="preserve">REPLANTEO </t>
  </si>
  <si>
    <t>MOVIMIENTO DE TIERRA</t>
  </si>
  <si>
    <t>RELLENO COMPACTADO</t>
  </si>
  <si>
    <t xml:space="preserve">BOTE DE MATERIAL  </t>
  </si>
  <si>
    <t>HORMIGON ARMADO EN:</t>
  </si>
  <si>
    <t>LOSA DE FONDO  0.15 - 2.59 qq/M3</t>
  </si>
  <si>
    <t>LOSA DE TECHO  0.12 - 1.62 qq/M3</t>
  </si>
  <si>
    <t>MUROS</t>
  </si>
  <si>
    <t xml:space="preserve">BLOCK 6"  </t>
  </si>
  <si>
    <t>TERMINACION</t>
  </si>
  <si>
    <t>PAÑETE EN MURO DE BLOCK</t>
  </si>
  <si>
    <t xml:space="preserve">CANTOS  </t>
  </si>
  <si>
    <t>TAPA DE H.A  ( 0.80 x 0.80 )</t>
  </si>
  <si>
    <t>COSTO / UD  R.D.$</t>
  </si>
  <si>
    <t>LOSA DE FONDO 0.15 - 2.59 QQ/M3</t>
  </si>
  <si>
    <t>LOSA DE TECHO  0.12 - 1.62 QQ/M3</t>
  </si>
  <si>
    <t>TAPAS DE H.A. ( 0.80 x 0.80 x 0.10 )M - 1.68 qq/M3</t>
  </si>
  <si>
    <t>H.S. 210 KG/CM2</t>
  </si>
  <si>
    <t>COSTO / M3 R.D.$</t>
  </si>
  <si>
    <t>TAPAS</t>
  </si>
  <si>
    <t>PERSONAL P/INSTALACION</t>
  </si>
  <si>
    <t>COSTO / UD R.D.$</t>
  </si>
  <si>
    <t>ESCALERAS H= 1.85 Ø 3/4"</t>
  </si>
  <si>
    <t>SUMINISTRO TUBERIA 3/4" H.G.</t>
  </si>
  <si>
    <t>CORTE</t>
  </si>
  <si>
    <t>SOLDADURA</t>
  </si>
  <si>
    <t>PUNTURA DE OXIDO ROJO</t>
  </si>
  <si>
    <t>PUNTURA DE MANTENIMIETO</t>
  </si>
  <si>
    <t>COSTO /UD RD$</t>
  </si>
  <si>
    <t>COSTO /ML RD$</t>
  </si>
  <si>
    <t>PUERTA DE MALLA CICLONICA 3 ML.</t>
  </si>
  <si>
    <t>TUB.1 1/2"X15' H.G.</t>
  </si>
  <si>
    <t>COPA 1 1/2"</t>
  </si>
  <si>
    <t>MALLA CICLONICA</t>
  </si>
  <si>
    <t>PLANCHUELAS 1X1/8"</t>
  </si>
  <si>
    <t>ALAMBRE No.8</t>
  </si>
  <si>
    <t>LIBRA</t>
  </si>
  <si>
    <t>SOLDADORA</t>
  </si>
  <si>
    <t>PERSONAL:</t>
  </si>
  <si>
    <t>MAESTRO  SOLDADOR ( UNO )</t>
  </si>
  <si>
    <t>AYUDANTE  CALIFICADO</t>
  </si>
  <si>
    <t>PEON (UNO)</t>
  </si>
  <si>
    <t>CANDADO</t>
  </si>
  <si>
    <t>PORTA CANDADO</t>
  </si>
  <si>
    <t>BISAGRA</t>
  </si>
  <si>
    <t xml:space="preserve">ALAMBRE DE PUAS </t>
  </si>
  <si>
    <t xml:space="preserve">PINTURA </t>
  </si>
  <si>
    <t>INSTALACION</t>
  </si>
  <si>
    <t>TOTAL PUERTA MALLA CICLONICA</t>
  </si>
  <si>
    <t>COSTO/UD        RD$</t>
  </si>
  <si>
    <t>SISTEMA DE CLORACION</t>
  </si>
  <si>
    <t>CLORADOR</t>
  </si>
  <si>
    <t>BOMBA DE 3/4" H.P DE 150 PSI</t>
  </si>
  <si>
    <t>MANO OBRA INSTALACION</t>
  </si>
  <si>
    <t>CILINDRO DE CLORO GAS LENO</t>
  </si>
  <si>
    <t xml:space="preserve">PUNTO DE APLICACION </t>
  </si>
  <si>
    <t>REGISTRO PARA VALVULAS DE AIRE</t>
  </si>
  <si>
    <t xml:space="preserve">TUBO DE H.S. 30" </t>
  </si>
  <si>
    <t xml:space="preserve">BASE DE H.S. </t>
  </si>
  <si>
    <t>TAPA DE H.S.</t>
  </si>
  <si>
    <t>COSTO/U  RD$</t>
  </si>
  <si>
    <t>CASETA PARA POZO TECHO DESLIZABLE</t>
  </si>
  <si>
    <t>ZAPATA DE MURO 0.36 QQ/M3</t>
  </si>
  <si>
    <t>MANO DE ACERO</t>
  </si>
  <si>
    <t>VIGA 0.20 x 0.30 - 3.56 QQ/M3</t>
  </si>
  <si>
    <t>LOSA DE TECHO  0.10 - 1.48 QQ/M3</t>
  </si>
  <si>
    <t>DINTEL 0.20 x 0.15 - 3.89 QQ/M3</t>
  </si>
  <si>
    <t>RAMPA DE ACCESO  0.05 QQ/M3</t>
  </si>
  <si>
    <t>SOPORTE DE CORREDERA  0.89 QQ/M3</t>
  </si>
  <si>
    <t>BASE PARA MOTOR Y BOMBEO (0.80 x 0.80 x 0.20) - 2.59 QQ/M3</t>
  </si>
  <si>
    <t>VOLUMNE DE BASE H.S.</t>
  </si>
  <si>
    <t>COLUMNA 0.20 x 0.15 - 4.58 QQ/M3</t>
  </si>
  <si>
    <t>TECHO CORREDIZO EN TOLA</t>
  </si>
  <si>
    <t>ANGULARES DE 1½" x 1½" x 3/16" P TIJERILLA</t>
  </si>
  <si>
    <t>ALUZINC CAL 26</t>
  </si>
  <si>
    <t>ZINC LISO</t>
  </si>
  <si>
    <t>ANGULAR  DE 2" x 2" x 1/4"</t>
  </si>
  <si>
    <t xml:space="preserve">CHANNEL  DE 4" x ½ " </t>
  </si>
  <si>
    <t>PERFIL CUADRADO 2" x 1 " PARA CORREAS</t>
  </si>
  <si>
    <t xml:space="preserve">CAJA DE BOLA </t>
  </si>
  <si>
    <t>CABALLETE</t>
  </si>
  <si>
    <t>P</t>
  </si>
  <si>
    <t>ELECTRODOS DISCO DE CORTE, TORNILLOS Y PINTURA</t>
  </si>
  <si>
    <t>MANO DE OBRA  ( INC SOLDADORA )</t>
  </si>
  <si>
    <t>PUERTA FRONTAL ( 2.70 x 4.00 )M</t>
  </si>
  <si>
    <t>PERFIL CUADRADO 2" x 1"</t>
  </si>
  <si>
    <t>MALLA METAL DES,P ( 4" x 8 x ½" )</t>
  </si>
  <si>
    <t>PESTILLO</t>
  </si>
  <si>
    <t>BISAGRAS</t>
  </si>
  <si>
    <t>BASTON</t>
  </si>
  <si>
    <t>ELECTRODOS, DISCO DE CORTE Y PINTURA</t>
  </si>
  <si>
    <t>COSTO/U RD$</t>
  </si>
  <si>
    <t>COSTO/P2 RD$</t>
  </si>
  <si>
    <t>PUERTA TRASERA ( 2.10 x 0.9 )M</t>
  </si>
  <si>
    <t>BARRA CUADRADA DE ½"</t>
  </si>
  <si>
    <t>TOLA LISA 1/16"</t>
  </si>
  <si>
    <t>CASETA PARA GENERADOR 100-200 KV</t>
  </si>
  <si>
    <t>ZAPATA DE MURO 0.79 QQ/M3</t>
  </si>
  <si>
    <t>COLUMNA 0.20 x 0.20 - 4.58 QQ/M3</t>
  </si>
  <si>
    <t>VIGA 0.20 x 0.25 - 11.14 QQ/M3</t>
  </si>
  <si>
    <t>DINTEL 0.20 x 0.15 - 5.00 QQ/M3</t>
  </si>
  <si>
    <t>LOSA DE TECHO  0.13 - 1.05 QQ/M3</t>
  </si>
  <si>
    <t>BASE H.A. P/PLANTA  ( 3.2 x 1.85 )M   0.63 QQ/M3</t>
  </si>
  <si>
    <t>ESTRUCTURA DE SOPORTE PARA DEPOSTO DE COMBUSTIBLE DE 500 GLS</t>
  </si>
  <si>
    <t>ZAPATA DE MURO 1.36 QQ/M3</t>
  </si>
  <si>
    <t>MURO DE H.A.  0.20 - 3.93  QQ/M3</t>
  </si>
  <si>
    <t>TINA PARA DERRAME DE COMBUSTIBLE DE 500 GLS</t>
  </si>
  <si>
    <t>LOSA DE FONDO  0.20 - 0.72  QQ/M3</t>
  </si>
  <si>
    <t>GARITA PARA VIGILANCIA TIPO 2</t>
  </si>
  <si>
    <t>LOSA DE TECHO  0.10 - 2.31 QQ/M3</t>
  </si>
  <si>
    <t>VIGA PERIMETRAL SECCION TRAPEZOIDAL (.(30+20)/2) X 0.15 - 4.36 QQ/M3</t>
  </si>
  <si>
    <t>ZAPATA DE MURO 0.74 QQ/M3</t>
  </si>
  <si>
    <t>PUERTA ENRROLLABLE (2.30 X2.40 )M</t>
  </si>
  <si>
    <t xml:space="preserve">MOSAICOS GRANITO P/ PISO 40 x 40 </t>
  </si>
  <si>
    <t>PreParación terreno.</t>
  </si>
  <si>
    <t>HorM. 1:10 + 5% desP. h=.10 M.</t>
  </si>
  <si>
    <t>Baldosas + transPorte + 10% desP. + itbis</t>
  </si>
  <si>
    <t>Corte de chazos.</t>
  </si>
  <si>
    <t>Derreterido blanco + 10% desP.</t>
  </si>
  <si>
    <t>Colocación.</t>
  </si>
  <si>
    <t>PUlido y cristalizado.</t>
  </si>
  <si>
    <t>ZOCALO GRANITO 40 x 07</t>
  </si>
  <si>
    <t>Mortero 1:3 + 5% desP.</t>
  </si>
  <si>
    <t>Lechada ceMento con color + 10% desP.</t>
  </si>
  <si>
    <t>MATERIAL PARA RELLENO</t>
  </si>
  <si>
    <t>SUMINISTRO</t>
  </si>
  <si>
    <t>COSTO/M3 RD$</t>
  </si>
  <si>
    <t>COLOCACION</t>
  </si>
  <si>
    <t>SUMINISTRO Y COLOCACION.</t>
  </si>
  <si>
    <t>LOSA DE TECHO</t>
  </si>
  <si>
    <t>LOSA DE TECHO  0.15 - 1.09 QQ/M3</t>
  </si>
  <si>
    <t xml:space="preserve">LOSA DE FONDO </t>
  </si>
  <si>
    <t>COLUMNA C1</t>
  </si>
  <si>
    <t>COLUMNAS C1 0.30X0.30 - 8.15QQ/M3  F'C=240KG/CM2</t>
  </si>
  <si>
    <t xml:space="preserve">ZAPATA DE COLUMNA </t>
  </si>
  <si>
    <t>H.S. 240KG/CM2+5% DESP.</t>
  </si>
  <si>
    <t>ZAPATA DE MURO</t>
  </si>
  <si>
    <t xml:space="preserve">VIGA 0.30 x 0.30 </t>
  </si>
  <si>
    <t>ZAPATA DE COLUMNAS - 0.865 QQ/M3</t>
  </si>
  <si>
    <t>COLUMNAS C2, P / LAS ESQUINAS - 4.7QQ/M3</t>
  </si>
  <si>
    <t>COLUMNAS C1 0.15X0.15 - 6.26QQ/M3  F'C=240KG/CM2</t>
  </si>
  <si>
    <t>DEPOSITO REGULADOR 250M3 HA SUPERFICIAL</t>
  </si>
  <si>
    <t>ZAPATA DE MURO 0.67QQ/M3 zap.col.</t>
  </si>
  <si>
    <t>H.S. 240 KG/CM2</t>
  </si>
  <si>
    <t>LOSA DE FONDO 1.06QQ/M3</t>
  </si>
  <si>
    <t>H.S. H.S. 240 KG/CM2</t>
  </si>
  <si>
    <t>MUROS 0.20-3.75QQ/M3</t>
  </si>
  <si>
    <t>ZAPATA DE COLUMNA CENTRAL 1.99QQ/M3</t>
  </si>
  <si>
    <t>COLUMNA CENTRAL 0.30*0.30 3.91QQ/M3</t>
  </si>
  <si>
    <t>H.S H.S. 240KG/CM2</t>
  </si>
  <si>
    <t>ACERO+M.O+ALAMBRE</t>
  </si>
  <si>
    <t xml:space="preserve">ECCF Y DESC </t>
  </si>
  <si>
    <t>COLUMNA LATERAL 0.30*0.30*2.97</t>
  </si>
  <si>
    <t>LOSA DE TECHO 0.15-1.1QQ/M3</t>
  </si>
  <si>
    <t>VIGA 0.30*0.30*4.75QQ/M3</t>
  </si>
  <si>
    <t>M.O. ACERO</t>
  </si>
  <si>
    <t>PIEDRAS:</t>
  </si>
  <si>
    <t xml:space="preserve">COSTO /M3 RD$ </t>
  </si>
  <si>
    <t>ENCACHE</t>
  </si>
  <si>
    <t xml:space="preserve">CEMENTO GRIS </t>
  </si>
  <si>
    <t>PIEDRA</t>
  </si>
  <si>
    <t>ARENA ITABO</t>
  </si>
  <si>
    <t>MADERA Y CLAVOS</t>
  </si>
  <si>
    <t>P.A</t>
  </si>
  <si>
    <t>COLOC. DE PIEDRA</t>
  </si>
  <si>
    <t>PREPARACION DE MORTERO</t>
  </si>
  <si>
    <t>PRECIO DE ENCACHE No 1  =</t>
  </si>
  <si>
    <t>MT</t>
  </si>
  <si>
    <t>PRECIO DE ENCACHE No 2  =</t>
  </si>
  <si>
    <t>CANALETAS ENCACHADAS</t>
  </si>
  <si>
    <t>( 0.80 x 0.40 x 0.8 )</t>
  </si>
  <si>
    <t>CANALETA ENCACHADA  0.80 ;  L=</t>
  </si>
  <si>
    <t>M ;ESP</t>
  </si>
  <si>
    <t>EXCAVACION  MAT.  NO  CLASIF. MANO</t>
  </si>
  <si>
    <t>BOTE DE MATERIAL</t>
  </si>
  <si>
    <t>MATERIAL GRANULAR</t>
  </si>
  <si>
    <t>TORTA DE HORMIGON  SIMPLE</t>
  </si>
  <si>
    <t>ENCACHE DE PIEDRA</t>
  </si>
  <si>
    <t xml:space="preserve">COSTO TOTAL RD$ </t>
  </si>
  <si>
    <t xml:space="preserve">COSTO /M.L. RD$ </t>
  </si>
  <si>
    <t>COLUMNAS VERJA MALLA CILONICA</t>
  </si>
  <si>
    <t>HORMIGON   COLUMNA C1</t>
  </si>
  <si>
    <t>&gt;&gt;&gt;&gt;&gt;&gt;&gt;&gt;&gt;&gt;&gt;&gt;&gt;&gt;&gt;&gt;&gt;&gt;&gt;&gt;&gt;&gt;&gt;&gt;&gt;&gt;&gt;&gt;&gt;&gt;&gt;&gt;&gt;</t>
  </si>
  <si>
    <t>COLUMNAS C2 INCLUYE ZAPATA</t>
  </si>
  <si>
    <t>COLUMNAS C2 0.25X0.25 - 4.79QQ/M3  F'C=180KG/CM2</t>
  </si>
  <si>
    <t xml:space="preserve">$ / UD = </t>
  </si>
  <si>
    <t>/UD</t>
  </si>
  <si>
    <t>ZAPATA 0.75X0.75 - 1.43QQ/M3  F'C=180KG/CM2</t>
  </si>
  <si>
    <t xml:space="preserve">VOLUMEN Z /UD = </t>
  </si>
  <si>
    <t>HORMIGON   COLUMNA C2 INC. ZAPATA</t>
  </si>
  <si>
    <t>COLUMNA C2 INC. ZAPATA</t>
  </si>
  <si>
    <t>VERJA MMALA CICLONICA (ANALISIS PARA 12.00  M)</t>
  </si>
  <si>
    <t>ZAPATA DE MURO 0.25-0.60 qq/m³</t>
  </si>
  <si>
    <t>H.S. 180 KG/CM2</t>
  </si>
  <si>
    <t>K ACERO</t>
  </si>
  <si>
    <t>MANO DE OBRA ACERO</t>
  </si>
  <si>
    <t>COSTO/m³        RD$</t>
  </si>
  <si>
    <t>EXCAVACION</t>
  </si>
  <si>
    <t>ZAPATA DE MURO 0.60 qq/m³</t>
  </si>
  <si>
    <t>BLOCK 6" ( 3 LINEAS )</t>
  </si>
  <si>
    <t>LOMA DE PERRO</t>
  </si>
  <si>
    <t>TUBERIA 1½" x 15' H.G.</t>
  </si>
  <si>
    <t>TUBERIA 1¼" x 20' H.G.</t>
  </si>
  <si>
    <t>COPAS 2"</t>
  </si>
  <si>
    <t>COPAS 1½"</t>
  </si>
  <si>
    <t>BARRAS TENSORAS 1"x⅛"</t>
  </si>
  <si>
    <t>ABRAZADERAS 1½" METAL</t>
  </si>
  <si>
    <t>MALLA CICLÓNICA Nº 9</t>
  </si>
  <si>
    <t>ALAMBRE DULCE  Nº 18</t>
  </si>
  <si>
    <t>PAÑETE DE MURO</t>
  </si>
  <si>
    <t>PINTURA MALLA, PALOMETA, TUBOS Y ALAMBRE</t>
  </si>
  <si>
    <t>TOTAL GENERAL ANALISIS VERJA</t>
  </si>
  <si>
    <t>REPLANTEO PARA VERJA</t>
  </si>
  <si>
    <t>MADERA</t>
  </si>
  <si>
    <t>PT</t>
  </si>
  <si>
    <t>CLAVOS  DULCE 2½"</t>
  </si>
  <si>
    <t>NYLON</t>
  </si>
  <si>
    <t>ROLLO</t>
  </si>
  <si>
    <t>PERSONAL::</t>
  </si>
  <si>
    <t>CARPINTERO (OP2) @900.00/DIA</t>
  </si>
  <si>
    <t>TECNICADO CALIFICADO @ 780.00/DIA</t>
  </si>
  <si>
    <t>HERRAMIENTAS MENORES</t>
  </si>
  <si>
    <t>COSTO/M RD$</t>
  </si>
  <si>
    <t>OPERADOR ( OP 1ERA )@1,200.00/DIA</t>
  </si>
  <si>
    <t>AYUDANTE @ 950.00/DIA</t>
  </si>
  <si>
    <t>PEONES ( 2U )  @ 650.00/DIA</t>
  </si>
  <si>
    <t>RENIDIMIENTO</t>
  </si>
  <si>
    <t>M/DIA</t>
  </si>
  <si>
    <t>COSTO/DIA RD$</t>
  </si>
  <si>
    <t>SOLO COLOCACION MALLA CICLONICA</t>
  </si>
  <si>
    <t>REPLANTEO PARA TUBERIAS</t>
  </si>
  <si>
    <t>CINTA METRICA 100 USO</t>
  </si>
  <si>
    <t>COSTO/DIA</t>
  </si>
  <si>
    <t>COSTO / M RD$</t>
  </si>
  <si>
    <t>JUNTA DE GOMA 9". WATER STOP</t>
  </si>
  <si>
    <t>SUMINISTRO JUNTA DE GOMA 9"</t>
  </si>
  <si>
    <t>DESP. DE JUNTA (NO PERMITE EMPATE ).15%</t>
  </si>
  <si>
    <t>M.O INSTALACION</t>
  </si>
  <si>
    <t>CTO/M RD$</t>
  </si>
  <si>
    <t>CONTEN (TELFORD)</t>
  </si>
  <si>
    <t>Area de sección:  0.10 M2</t>
  </si>
  <si>
    <t>VolUMen analizado:  1.00 M3</t>
  </si>
  <si>
    <t>VolUMen / Metro:  0.10 M3</t>
  </si>
  <si>
    <t>LongitUd total:  10.00 M</t>
  </si>
  <si>
    <t>Madera (110 P2 / 10 Usos + 10% desP.).</t>
  </si>
  <si>
    <t>Clavos (5 LB. / 100 P2).</t>
  </si>
  <si>
    <t>HorMigón  1:3:5 contén + 2% desP.</t>
  </si>
  <si>
    <t>Mortero 1:3 Para PUlido.</t>
  </si>
  <si>
    <t>Base contén (Mano de obra solaMente).</t>
  </si>
  <si>
    <t>ConstrUcción contén.</t>
  </si>
  <si>
    <t xml:space="preserve"> /M</t>
  </si>
  <si>
    <t>Obra: CONSTRUCCIÓN ACUEDUCTO CAÑADA CIMARRONA</t>
  </si>
  <si>
    <t>Ubicación: PROVINCIA AZUA</t>
  </si>
  <si>
    <t>Zona: II</t>
  </si>
  <si>
    <t>Nº</t>
  </si>
  <si>
    <t>DESCRIPIÓN</t>
  </si>
  <si>
    <t>Ud</t>
  </si>
  <si>
    <t>P.U. (RD$)</t>
  </si>
  <si>
    <t>VALOR (RD$)</t>
  </si>
  <si>
    <t>A</t>
  </si>
  <si>
    <t>LÍNEA DE IMPULSIÓN</t>
  </si>
  <si>
    <t>Replanteo</t>
  </si>
  <si>
    <t>Excavación material no clasificado c/equipo</t>
  </si>
  <si>
    <r>
      <t>M</t>
    </r>
    <r>
      <rPr>
        <sz val="11"/>
        <color indexed="8"/>
        <rFont val="Calibri"/>
        <family val="2"/>
      </rPr>
      <t>³N</t>
    </r>
  </si>
  <si>
    <t>Nivelación de fondo de zanja</t>
  </si>
  <si>
    <r>
      <t>M</t>
    </r>
    <r>
      <rPr>
        <sz val="11"/>
        <color indexed="8"/>
        <rFont val="Calibri"/>
        <family val="2"/>
      </rPr>
      <t>²</t>
    </r>
  </si>
  <si>
    <t>Asiento de arena</t>
  </si>
  <si>
    <r>
      <t>M</t>
    </r>
    <r>
      <rPr>
        <sz val="11"/>
        <color indexed="8"/>
        <rFont val="Calibri"/>
        <family val="2"/>
      </rPr>
      <t>³</t>
    </r>
  </si>
  <si>
    <t xml:space="preserve">Compactación material de relleno c/compactador mecánico en capas de 0.20 m </t>
  </si>
  <si>
    <r>
      <t>M</t>
    </r>
    <r>
      <rPr>
        <sz val="11"/>
        <color indexed="8"/>
        <rFont val="Calibri"/>
        <family val="2"/>
      </rPr>
      <t>³C</t>
    </r>
  </si>
  <si>
    <t xml:space="preserve">Bote de material con camión D= 5 km (incluye carguío y esparcimiento en botadero) </t>
  </si>
  <si>
    <r>
      <t>M</t>
    </r>
    <r>
      <rPr>
        <sz val="11"/>
        <color indexed="8"/>
        <rFont val="Calibri"/>
        <family val="2"/>
      </rPr>
      <t>³E</t>
    </r>
  </si>
  <si>
    <t>SUMNISTRO DE TUBERÍA</t>
  </si>
  <si>
    <t>De 4" Acero sch-80 c/protección anticorrosivo</t>
  </si>
  <si>
    <t>De 4" PVC SDR-21 C/JG incluye un 2% de perdida</t>
  </si>
  <si>
    <t>COLOCACIÓN DE TUBERÍA</t>
  </si>
  <si>
    <t xml:space="preserve">De 4" PVC SDR-21 C/JG </t>
  </si>
  <si>
    <t>PRUEBA HIDROSTÁTICA</t>
  </si>
  <si>
    <t>De Ø4" Acero SCH-80</t>
  </si>
  <si>
    <t>DE Ø4" PVC SDR-21</t>
  </si>
  <si>
    <t>SUMINSTRO Y COLOCACIÓN DE PIEZAS ESPECIALES C/PROTECCIÓN ANTICORROSIVO</t>
  </si>
  <si>
    <t xml:space="preserve">Codo Ø4"x60º Acero-PVC SCH-80 </t>
  </si>
  <si>
    <t>Codo Ø4"x45º PVC (SDR-26)</t>
  </si>
  <si>
    <t>Codo Ø4"x22.5º PVC (SDR-26)</t>
  </si>
  <si>
    <t>SUMINISTRO Y COLOCACIÓN DE JUNTAS</t>
  </si>
  <si>
    <t>Mecánica tipo dresser Ø4"150 PSI</t>
  </si>
  <si>
    <t>SUMINISTRO Y COLOCACIÓN DE VÁLVULAS</t>
  </si>
  <si>
    <t>De desagüe ø4" H.F. 250 psi completa</t>
  </si>
  <si>
    <t>De desagüe ø4" H.F. 150 psi completa</t>
  </si>
  <si>
    <t>De aire combinada de ø1" 250 psi</t>
  </si>
  <si>
    <t>De aire combinada de ø1" 150 psi</t>
  </si>
  <si>
    <t>Cajas telescópicas H.F.</t>
  </si>
  <si>
    <t>Registro p/válvula de aire (1.40 x 1.40 x 1.40) m</t>
  </si>
  <si>
    <t xml:space="preserve">HIDRANTE EN TUBERÍA DE Ø4" </t>
  </si>
  <si>
    <t>CRUCE</t>
  </si>
  <si>
    <t xml:space="preserve">DE RÍO DE 4" ACERO L=225.00 M (INCLUYE 2 M DE BRAZO) </t>
  </si>
  <si>
    <t>10.1.1</t>
  </si>
  <si>
    <t>10.1.2</t>
  </si>
  <si>
    <t>Suministro tubería de ø4" acero sch-80 c/protección anticorrosivo</t>
  </si>
  <si>
    <t>10.1.3</t>
  </si>
  <si>
    <t>Codo 4"x 45 acero sch-80 c/protección anticorrosivo</t>
  </si>
  <si>
    <t>10.1.4</t>
  </si>
  <si>
    <t>Junta mecánica tipo Dresser 4" 150 psi</t>
  </si>
  <si>
    <t>10.1.5</t>
  </si>
  <si>
    <r>
      <t>Anclaje de H.A. tipo 1, 3.12 qq/m</t>
    </r>
    <r>
      <rPr>
        <vertAlign val="superscript"/>
        <sz val="11"/>
        <color indexed="8"/>
        <rFont val="Arial"/>
        <family val="2"/>
      </rPr>
      <t>3</t>
    </r>
  </si>
  <si>
    <t>10.1.6</t>
  </si>
  <si>
    <r>
      <t>Anclaje de H.A. tipo 2, 2.01 qq/m</t>
    </r>
    <r>
      <rPr>
        <vertAlign val="superscript"/>
        <sz val="11"/>
        <color indexed="8"/>
        <rFont val="Arial"/>
        <family val="2"/>
      </rPr>
      <t>3</t>
    </r>
  </si>
  <si>
    <t>10.1.7</t>
  </si>
  <si>
    <t>Excavación  material c/equipo</t>
  </si>
  <si>
    <t>10.1.8</t>
  </si>
  <si>
    <t>Relleno compactado  con compactador mecánico</t>
  </si>
  <si>
    <t>10.1.9</t>
  </si>
  <si>
    <t xml:space="preserve">Bote de material c/camión </t>
  </si>
  <si>
    <t>10.1.10</t>
  </si>
  <si>
    <t>Mano de obra</t>
  </si>
  <si>
    <t>SUBTOTAL FASE A</t>
  </si>
  <si>
    <t>B</t>
  </si>
  <si>
    <t>RED DE DISTRIBUCIÓN</t>
  </si>
  <si>
    <t xml:space="preserve">Asiento de arena </t>
  </si>
  <si>
    <t>De Ø3" PVC (SDR-26) C/J.G Incluye un 2% de pérdida</t>
  </si>
  <si>
    <t>De Ø4" PVC (SDR-26) C/J.G Incluye un 2% de pérdida</t>
  </si>
  <si>
    <t>COLOCACION DE TUBERÍA</t>
  </si>
  <si>
    <t>DE 3" PVC (SDR-26) C/J.G</t>
  </si>
  <si>
    <t>DE 4" PVC (SDR-26) C/J.G</t>
  </si>
  <si>
    <t>De Ø3" PVC (SDR-26) C/J.G</t>
  </si>
  <si>
    <t xml:space="preserve">De Ø4" PVC (SDR-26) C/J.G </t>
  </si>
  <si>
    <t>Codo Ø4"x90º PVC (SDR-26)</t>
  </si>
  <si>
    <t>Codo Ø3"x45º PVC (SDR-26)</t>
  </si>
  <si>
    <t>Codo Ø3"x22.5º PVC (SDR-26)</t>
  </si>
  <si>
    <t>Tee 4" X 4" PVC (SDR-26)</t>
  </si>
  <si>
    <t>Tee 4" X 3" PVC (SDR-26)</t>
  </si>
  <si>
    <t>Tee 3" X 3" PVC (SDR-26)</t>
  </si>
  <si>
    <t>Reducción 4" X 3" PVC (SDR-26)</t>
  </si>
  <si>
    <t>Junta tapón Ø3" Acero SCH-80</t>
  </si>
  <si>
    <t>Mécanica tipo Dresser Ø3"150 psi</t>
  </si>
  <si>
    <t>Mécanica tipo Dresse Ø4"150 psi</t>
  </si>
  <si>
    <t>De compuerta ø4" H.F. 150 psi completa</t>
  </si>
  <si>
    <t>De compuerta ø3" H.F. 150 psi completa</t>
  </si>
  <si>
    <t>DE RÍO DE Ø3" ACERO L=80 M (INCLUYE 2 M DE BRAZO) (1 U)</t>
  </si>
  <si>
    <t>9.1.1</t>
  </si>
  <si>
    <t>9.1.2</t>
  </si>
  <si>
    <t>Suministro tubería de ø3" acero sch-80 c/protección anticorrosivo</t>
  </si>
  <si>
    <t>9.1.3</t>
  </si>
  <si>
    <t>Codo 3"x 45 acero Acero sch-80 c/protección anticorrosivo</t>
  </si>
  <si>
    <t>9.1.4</t>
  </si>
  <si>
    <t>Junta mecánica tipo Dresser 3" 150 psi</t>
  </si>
  <si>
    <t>9.1.5</t>
  </si>
  <si>
    <t>Anclaje de H.A. tipo 1, 3.12 qq/m3</t>
  </si>
  <si>
    <t>9.1.6</t>
  </si>
  <si>
    <t>Anclaje de H.A. tipo 2, 2.78 qq/m3</t>
  </si>
  <si>
    <t>9.1.7</t>
  </si>
  <si>
    <t xml:space="preserve">Excavación  material no clasificado  </t>
  </si>
  <si>
    <t>9.1.8</t>
  </si>
  <si>
    <t>9.1.9</t>
  </si>
  <si>
    <t>9.1.10</t>
  </si>
  <si>
    <t xml:space="preserve">ACOMETIDAS </t>
  </si>
  <si>
    <r>
      <t xml:space="preserve"> Instalacion de acometidas rurales de polietileno, incluye caja sencilla valvula de paso de </t>
    </r>
    <r>
      <rPr>
        <sz val="11"/>
        <color indexed="8"/>
        <rFont val="Calibri"/>
        <family val="2"/>
      </rPr>
      <t>Ø½</t>
    </r>
    <r>
      <rPr>
        <sz val="16.5"/>
        <color indexed="8"/>
        <rFont val="Arial"/>
        <family val="2"/>
      </rPr>
      <t>"</t>
    </r>
    <r>
      <rPr>
        <sz val="11"/>
        <color indexed="8"/>
        <rFont val="Arial"/>
        <family val="2"/>
      </rPr>
      <t xml:space="preserve"> (90 U)</t>
    </r>
  </si>
  <si>
    <r>
      <t xml:space="preserve"> Instalacion de acometidas urbanas de polietileno, incluye caja sencilla valvula de paso de </t>
    </r>
    <r>
      <rPr>
        <sz val="11"/>
        <color indexed="8"/>
        <rFont val="Calibri"/>
        <family val="2"/>
      </rPr>
      <t>Ø½</t>
    </r>
    <r>
      <rPr>
        <sz val="16.5"/>
        <color indexed="8"/>
        <rFont val="Arial"/>
        <family val="2"/>
      </rPr>
      <t>"</t>
    </r>
    <r>
      <rPr>
        <sz val="11"/>
        <color indexed="8"/>
        <rFont val="Arial"/>
        <family val="2"/>
      </rPr>
      <t xml:space="preserve"> (10 U)</t>
    </r>
  </si>
  <si>
    <t>SUBTOTAL FASE B</t>
  </si>
  <si>
    <t>C</t>
  </si>
  <si>
    <r>
      <t>CONSTRUCCIÓN DE CISTERNA 100 m</t>
    </r>
    <r>
      <rPr>
        <b/>
        <sz val="11"/>
        <color indexed="8"/>
        <rFont val="Calibri"/>
        <family val="2"/>
      </rPr>
      <t>³</t>
    </r>
    <r>
      <rPr>
        <b/>
        <sz val="11"/>
        <color indexed="8"/>
        <rFont val="Arial"/>
        <family val="2"/>
      </rPr>
      <t xml:space="preserve"> Y CASETA DE BOMBEO</t>
    </r>
  </si>
  <si>
    <t>I</t>
  </si>
  <si>
    <t>Relleno compactado</t>
  </si>
  <si>
    <t>II</t>
  </si>
  <si>
    <t>CISTERNA</t>
  </si>
  <si>
    <t>HORMIGÓN ARMADO  (F'c=280 KG/CM²)  EN:</t>
  </si>
  <si>
    <r>
      <t>Zapata columna c1, (1.65 x1.65) 2.92 qq/m</t>
    </r>
    <r>
      <rPr>
        <vertAlign val="superscript"/>
        <sz val="11"/>
        <color indexed="8"/>
        <rFont val="Arial"/>
        <family val="2"/>
      </rPr>
      <t>3</t>
    </r>
  </si>
  <si>
    <r>
      <t>Zapata de muro h=0.35 , 1.61 qq/m</t>
    </r>
    <r>
      <rPr>
        <vertAlign val="superscript"/>
        <sz val="11"/>
        <color indexed="8"/>
        <rFont val="Arial"/>
        <family val="2"/>
      </rPr>
      <t>3</t>
    </r>
  </si>
  <si>
    <r>
      <t>Losa de fondo h=0.20, 2.03 qq/m</t>
    </r>
    <r>
      <rPr>
        <vertAlign val="superscript"/>
        <sz val="11"/>
        <color indexed="8"/>
        <rFont val="Arial"/>
        <family val="2"/>
      </rPr>
      <t>3</t>
    </r>
  </si>
  <si>
    <r>
      <t>Columna c1  (0.35 x 0.35 ) 5.25 qq/m</t>
    </r>
    <r>
      <rPr>
        <vertAlign val="superscript"/>
        <sz val="11"/>
        <color indexed="8"/>
        <rFont val="Arial"/>
        <family val="2"/>
      </rPr>
      <t>3</t>
    </r>
  </si>
  <si>
    <r>
      <t>Columna c 2 (0.30 x 0.3) 5.15 qq/m</t>
    </r>
    <r>
      <rPr>
        <vertAlign val="superscript"/>
        <sz val="11"/>
        <color indexed="8"/>
        <rFont val="Arial"/>
        <family val="2"/>
      </rPr>
      <t>3</t>
    </r>
  </si>
  <si>
    <r>
      <t>Vigas v1 ( 0.25 x 0.25 )  5.21 qq/m</t>
    </r>
    <r>
      <rPr>
        <vertAlign val="superscript"/>
        <sz val="11"/>
        <color indexed="8"/>
        <rFont val="Arial"/>
        <family val="2"/>
      </rPr>
      <t>3</t>
    </r>
  </si>
  <si>
    <r>
      <t>Muros e=0.25, 2.10 qq/m</t>
    </r>
    <r>
      <rPr>
        <vertAlign val="superscript"/>
        <sz val="11"/>
        <color indexed="8"/>
        <rFont val="Arial"/>
        <family val="2"/>
      </rPr>
      <t>3</t>
    </r>
  </si>
  <si>
    <r>
      <t>Losa de techo h=0.15, 1.21 qq/m</t>
    </r>
    <r>
      <rPr>
        <vertAlign val="superscript"/>
        <sz val="11"/>
        <color indexed="8"/>
        <rFont val="Arial"/>
        <family val="2"/>
      </rPr>
      <t>3</t>
    </r>
  </si>
  <si>
    <r>
      <t>Hormigón de nivelación F</t>
    </r>
    <r>
      <rPr>
        <sz val="11"/>
        <color indexed="8"/>
        <rFont val="Calibri"/>
        <family val="2"/>
      </rPr>
      <t>'c=140 kg/cm</t>
    </r>
    <r>
      <rPr>
        <vertAlign val="superscript"/>
        <sz val="11"/>
        <color indexed="8"/>
        <rFont val="Calibri"/>
        <family val="2"/>
      </rPr>
      <t>2</t>
    </r>
  </si>
  <si>
    <t>TERMINACIÓN DE SUPERFICIE</t>
  </si>
  <si>
    <t>Fino pulido losa de fondo</t>
  </si>
  <si>
    <t>Pañete interior pulido</t>
  </si>
  <si>
    <t>Cantos</t>
  </si>
  <si>
    <t>Fino pulido losa de techo</t>
  </si>
  <si>
    <t>Zabaleta</t>
  </si>
  <si>
    <t>APLICACIÓN DE:</t>
  </si>
  <si>
    <t>Vibrado</t>
  </si>
  <si>
    <t>Junta hidrofílica</t>
  </si>
  <si>
    <t>Escalera metálica h=2.40  de Acero Inox. En el interior</t>
  </si>
  <si>
    <t>Tapa metálica en hierro negro, con acabado en pintura epoxica industrial y base adecuada para ese tipo de acabado , tres capas de acabado (0.75 x0.75) M</t>
  </si>
  <si>
    <t>III</t>
  </si>
  <si>
    <t>CASETA DE BOMBEO SOBRE CISTERNA</t>
  </si>
  <si>
    <t>HORMIGÓN ARMADO EN:</t>
  </si>
  <si>
    <r>
      <t>Viga ( 0.25 x 0.25 )  4.79 qq/m</t>
    </r>
    <r>
      <rPr>
        <vertAlign val="superscript"/>
        <sz val="11"/>
        <color indexed="8"/>
        <rFont val="Arial"/>
        <family val="2"/>
      </rPr>
      <t>3</t>
    </r>
  </si>
  <si>
    <r>
      <t>Losa de techo h=0.12, 1.26 qq/m</t>
    </r>
    <r>
      <rPr>
        <vertAlign val="superscript"/>
        <sz val="11"/>
        <color indexed="8"/>
        <rFont val="Arial"/>
        <family val="2"/>
      </rPr>
      <t>3</t>
    </r>
  </si>
  <si>
    <t>BLOQUES</t>
  </si>
  <si>
    <t>Bloques de 6" SNP</t>
  </si>
  <si>
    <t>Bloques calados</t>
  </si>
  <si>
    <t>Pañete interior maestreado y a plomo</t>
  </si>
  <si>
    <t>Pañete exterior maestreado y a olomo</t>
  </si>
  <si>
    <t>Pañete en techo maestreado y a nivel</t>
  </si>
  <si>
    <t>Pintura acrilica calidad superior</t>
  </si>
  <si>
    <t>Fino losa de techo incluyendo impermeabilizantes</t>
  </si>
  <si>
    <t>Antepecho</t>
  </si>
  <si>
    <t>PUERTA</t>
  </si>
  <si>
    <t>Puerta doble panel en tola de 1/4" (2.50 X 2.00) M (VER DETALLE) con acabado en pintura epoxica industrial y base adecuada para ese tipo de acabado , tres capas de acabado</t>
  </si>
  <si>
    <t>ELECTRIFICACIÓN CASETA DE BOMBEO</t>
  </si>
  <si>
    <t>Salida cenital</t>
  </si>
  <si>
    <t>Salida interruptor sencillo</t>
  </si>
  <si>
    <t>Salida tomacorriente doble 120V</t>
  </si>
  <si>
    <t>Panel de distribución 4/8 circuitos  (Incluye Breakers)</t>
  </si>
  <si>
    <t>Logo y letrero de INAPA</t>
  </si>
  <si>
    <t>SUBTOTAL FASE C</t>
  </si>
  <si>
    <t>D</t>
  </si>
  <si>
    <t xml:space="preserve">ELECTRIFICACIÓN Y EQUIPAMIENTO </t>
  </si>
  <si>
    <t xml:space="preserve">ELECTRIFICACIÓN PRIMARIA </t>
  </si>
  <si>
    <t>Postes en H.A., V 40´ 500 DM</t>
  </si>
  <si>
    <t>Alambre AACC no. 1/0</t>
  </si>
  <si>
    <t>Estructura mtt-105</t>
  </si>
  <si>
    <t>Estructura HA-100B</t>
  </si>
  <si>
    <t>Estructura AP-103</t>
  </si>
  <si>
    <t>Estructura TR-105 (1 x 25 KVA)</t>
  </si>
  <si>
    <t>Instalación de postes</t>
  </si>
  <si>
    <t>Hoyo para postes</t>
  </si>
  <si>
    <t>Hoyo para vientos</t>
  </si>
  <si>
    <t xml:space="preserve">Mano de obra eléctrica primaria (25 %) </t>
  </si>
  <si>
    <t>SUBTOTAL 1</t>
  </si>
  <si>
    <t>ELECTRIFICACIÓN SECUNDARIA</t>
  </si>
  <si>
    <t>2.1</t>
  </si>
  <si>
    <t xml:space="preserve">Alimentador eléctrico desde transformadores hasta panel board con Main Breaker, con 2 conductores THW Nº 1/0, 1 conductor THW Nº 2 y 1 conductor Nº.2 a 7 hilos trenzados en tuberías PVC y IMC de 2" y accesorios </t>
  </si>
  <si>
    <t xml:space="preserve">Alimentador eléctrico desde panel board hasta panel de distribución de servicio 2/4 circuitos con 2 conductores THW Nº 6 y 1 conductor Nº 8 en tuberías EMT de 1 1/2" y accesorios </t>
  </si>
  <si>
    <t>Alimentador eléctrico desde panel de distribución de servicio 2/4 circuitos hasta garita de vigilante con 2 conductores THW Nº 10 y 1 conductor Nº 12 en tubería PVC de 1" con accesorios</t>
  </si>
  <si>
    <t>Alimentador eléctrico desde panel de distribución de servicio 2/4 circuitos hasta lámparas de iluminación exterior con 1 conductor de vinil Nº 10/2</t>
  </si>
  <si>
    <t>Alimentador eléctrico desde panel board y arrancadores hasta electrobombas con 2 conductores Nº 6 y 1 conductor Nº 8 para cada bomba (2), en tuberías EMT y L.T. de 1 1/2" y accesorios</t>
  </si>
  <si>
    <t>Main Breaker 125/2 Amp, 240V, 3ø, Enclosure, Nema 3R</t>
  </si>
  <si>
    <t xml:space="preserve">Panel board barra de 100 Amp. con Main Breaker 125/2 Amp, 240 V, 1ø. Incluye 2 Breakers 100/2 Amp. y 1 Brearker 20/2 Amp. </t>
  </si>
  <si>
    <t>Panel de distribución, (2/4 circuitos). Incluye Breakers</t>
  </si>
  <si>
    <t>Registro eléctrico en H.A. (0.5 x 0.5 x 0.6) m</t>
  </si>
  <si>
    <t>Registro eléctrico metálico (6" x 6" x 4")</t>
  </si>
  <si>
    <t>Mano de obra eléctrica  secundaria (35%)</t>
  </si>
  <si>
    <t>SUB-TOTAL 2</t>
  </si>
  <si>
    <t>SUMINISTRO E INSTALACIÓN DE ELECTROBOMBA</t>
  </si>
  <si>
    <t xml:space="preserve">Suministro electrobombas en línea con motor vertical, succión negativa con motor de 10 HP, 58 gpm y 365 pies de TDH. </t>
  </si>
  <si>
    <t xml:space="preserve">Panel de control con dos arrancadores variadores de frecuencia (vdf) para 10 hp (suministro e instalación) </t>
  </si>
  <si>
    <t xml:space="preserve">Instalación de electrobomba </t>
  </si>
  <si>
    <t>Niple de 2" x 12" roscado</t>
  </si>
  <si>
    <t>Instalación manométrica completa (incluye manómetro sumergido en glicerina de 0-600 psi</t>
  </si>
  <si>
    <t xml:space="preserve">Junta Dresser autoportante de 2" </t>
  </si>
  <si>
    <t xml:space="preserve">Válvula de aire 1" </t>
  </si>
  <si>
    <t xml:space="preserve">Válvula de compuerta con vástago ascendente de 2" roscada. </t>
  </si>
  <si>
    <t>Válvula check de 2" roscada</t>
  </si>
  <si>
    <t>Construcción mainfold de descarga de 2"</t>
  </si>
  <si>
    <t xml:space="preserve">Codo Ø2" x 90º </t>
  </si>
  <si>
    <t xml:space="preserve">Codo Ø2" x 45º </t>
  </si>
  <si>
    <t xml:space="preserve">Yee de 2"x 2" x 2" </t>
  </si>
  <si>
    <t>Cruz 2" x 2"</t>
  </si>
  <si>
    <t xml:space="preserve">Zeta de 2"x 2"  </t>
  </si>
  <si>
    <t>Pintura azul positivo para tuberia de descarga en epóxica industrial tres capas (fondo y acabado)</t>
  </si>
  <si>
    <t>Soporte para descarga en hormigón armado y conexion hacia el anclaje con una abrazadera de planchuela, protegida con pintura epóxica industrial.</t>
  </si>
  <si>
    <r>
      <t>Base para bombas en hormigón 240 kg/cm</t>
    </r>
    <r>
      <rPr>
        <sz val="11"/>
        <color indexed="8"/>
        <rFont val="Calibri"/>
        <family val="2"/>
      </rPr>
      <t>²</t>
    </r>
    <r>
      <rPr>
        <sz val="11"/>
        <color indexed="8"/>
        <rFont val="Arial"/>
        <family val="2"/>
      </rPr>
      <t xml:space="preserve"> reforzado con fibra (0,40 x 0,40 x 0,25) m</t>
    </r>
  </si>
  <si>
    <t xml:space="preserve">SUB-TOTAL 3  </t>
  </si>
  <si>
    <t>SUB-TOTAL FASE D</t>
  </si>
  <si>
    <t>E</t>
  </si>
  <si>
    <t xml:space="preserve">GARITA DE VIGILANTE </t>
  </si>
  <si>
    <t>Movimiento de tierra (incluye excavación de zapatas, reposición de material compactado y bote de material sobrante)</t>
  </si>
  <si>
    <r>
      <t>HORMIGÓN ARMADO (210 KG/CM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)</t>
    </r>
  </si>
  <si>
    <r>
      <t>Zapata de muro (Incluye Zapata C1) 0.85 qq/m</t>
    </r>
    <r>
      <rPr>
        <vertAlign val="superscript"/>
        <sz val="11"/>
        <color indexed="8"/>
        <rFont val="Arial"/>
        <family val="2"/>
      </rPr>
      <t>3</t>
    </r>
  </si>
  <si>
    <r>
      <t>M</t>
    </r>
    <r>
      <rPr>
        <vertAlign val="superscript"/>
        <sz val="11"/>
        <color indexed="8"/>
        <rFont val="Arial"/>
        <family val="2"/>
      </rPr>
      <t>3</t>
    </r>
  </si>
  <si>
    <r>
      <t>Viga de amarre a nivel de piso 0.15 m x 0.20 m - 3.71 qq/m</t>
    </r>
    <r>
      <rPr>
        <vertAlign val="superscript"/>
        <sz val="11"/>
        <color indexed="8"/>
        <rFont val="Arial"/>
        <family val="2"/>
      </rPr>
      <t>3</t>
    </r>
  </si>
  <si>
    <r>
      <t>Viga de amarre a nivel de techo 0.15 m x 0.20 m - 3.37 qq/m</t>
    </r>
    <r>
      <rPr>
        <vertAlign val="superscript"/>
        <sz val="11"/>
        <color indexed="8"/>
        <rFont val="Arial"/>
        <family val="2"/>
      </rPr>
      <t>3</t>
    </r>
  </si>
  <si>
    <r>
      <t>Dintel d1 (0.15 x 0.30 )m    2.99 qq/m</t>
    </r>
    <r>
      <rPr>
        <vertAlign val="superscript"/>
        <sz val="11"/>
        <color indexed="8"/>
        <rFont val="Arial"/>
        <family val="2"/>
      </rPr>
      <t>3</t>
    </r>
  </si>
  <si>
    <r>
      <t>Viga dintel d2 - 2.38 qq/m</t>
    </r>
    <r>
      <rPr>
        <vertAlign val="superscript"/>
        <sz val="11"/>
        <color indexed="8"/>
        <rFont val="Arial"/>
        <family val="2"/>
      </rPr>
      <t>3</t>
    </r>
  </si>
  <si>
    <r>
      <t>Columna 0.30 m x 0.15 m - 3.03 qq/m</t>
    </r>
    <r>
      <rPr>
        <vertAlign val="superscript"/>
        <sz val="11"/>
        <color indexed="8"/>
        <rFont val="Arial"/>
        <family val="2"/>
      </rPr>
      <t>3</t>
    </r>
  </si>
  <si>
    <r>
      <t>Losa de techo  0.12m - 1.34 qq/m</t>
    </r>
    <r>
      <rPr>
        <vertAlign val="superscript"/>
        <sz val="11"/>
        <color indexed="8"/>
        <rFont val="Arial"/>
        <family val="2"/>
      </rPr>
      <t>3</t>
    </r>
  </si>
  <si>
    <t xml:space="preserve">MUROS DE BLOCK </t>
  </si>
  <si>
    <t xml:space="preserve">De 6¨  B.N.P  </t>
  </si>
  <si>
    <r>
      <t>M</t>
    </r>
    <r>
      <rPr>
        <vertAlign val="superscript"/>
        <sz val="11"/>
        <color indexed="8"/>
        <rFont val="Arial"/>
        <family val="2"/>
      </rPr>
      <t>2</t>
    </r>
  </si>
  <si>
    <t xml:space="preserve">De 6¨  S.N.P  </t>
  </si>
  <si>
    <t>Aplicacion de adhesivo para concreto</t>
  </si>
  <si>
    <t>Pañete interior  maestreado y a plomo</t>
  </si>
  <si>
    <t>Pañete exterior maestreado y a plomo</t>
  </si>
  <si>
    <t xml:space="preserve">Fino de techo plano incluido impermeabilizante </t>
  </si>
  <si>
    <t>Pintura general acrílica de calidad superior (incluye primer fresh cement)</t>
  </si>
  <si>
    <t>Gotero de ranurado</t>
  </si>
  <si>
    <t>Impermeabilizante en techo (tipo sellador)</t>
  </si>
  <si>
    <t>Ceramica revestimiento de baños</t>
  </si>
  <si>
    <t>Pisos de hormigón pulido (con malla electosoldada de D2.30xD2.30)</t>
  </si>
  <si>
    <t>Acera perimetral de 0.80 m (ancho)</t>
  </si>
  <si>
    <t>Puerta (suministro y colocación)</t>
  </si>
  <si>
    <t xml:space="preserve">Premarco en puerta y ventanas </t>
  </si>
  <si>
    <t>Puerta polimetal incluye herraj, instalacion y llavin (2.10  x 1.00) m</t>
  </si>
  <si>
    <t>Verja de proteccion en puerta, con acabado en pintura epóxica calidad superior (fondo y acabado)</t>
  </si>
  <si>
    <t>VENTANA DE ALUMINIO (INCLUYE COLOCACIÓN)</t>
  </si>
  <si>
    <t>Ventanas de aluminio en celocias color blanco, frabicacion superior</t>
  </si>
  <si>
    <t>Verja de proteccion en ventanas, con acabado en pintura epóxica calidad superior (fondo y acabado)</t>
  </si>
  <si>
    <t>SANITARIA</t>
  </si>
  <si>
    <t>Lavamanos sencillos</t>
  </si>
  <si>
    <t>Inodoro</t>
  </si>
  <si>
    <t>Ducha</t>
  </si>
  <si>
    <t xml:space="preserve">Cámara de inspección </t>
  </si>
  <si>
    <t xml:space="preserve">Séptico (1.90mx1.10m) </t>
  </si>
  <si>
    <t>Desagüe de techo</t>
  </si>
  <si>
    <t>Desague de piso 3"</t>
  </si>
  <si>
    <t>Tinaco -150gls</t>
  </si>
  <si>
    <t>Barra para cortina</t>
  </si>
  <si>
    <t>Columna de ventilación Ø3"</t>
  </si>
  <si>
    <t>Tubería y piezas</t>
  </si>
  <si>
    <t>Pozo filtrante</t>
  </si>
  <si>
    <t>Mano de obra instalación</t>
  </si>
  <si>
    <t xml:space="preserve">Electrificación  </t>
  </si>
  <si>
    <t>Salidas cenitales</t>
  </si>
  <si>
    <t>Panel de distribución  8-16 circuito</t>
  </si>
  <si>
    <t>Salidas tomacorrientes doble 120 v</t>
  </si>
  <si>
    <t>Salidas interruptor sencillos</t>
  </si>
  <si>
    <t>SUB-TOTAL FASE E</t>
  </si>
  <si>
    <t>F</t>
  </si>
  <si>
    <t>VARIOS</t>
  </si>
  <si>
    <t>Fabricación e instalación de valla (16' x 10') impresión full color en banner blanco y negro, con logo de INAPA, nombre del contratista y del proyecto, estructura de tubos galvanizados de 1.5" x 1.5" y soportes en tubos cuadrados de 4" x 4"</t>
  </si>
  <si>
    <t>Campamento</t>
  </si>
  <si>
    <t xml:space="preserve">Mes </t>
  </si>
  <si>
    <t>SUBTOTAL  FASE F</t>
  </si>
  <si>
    <t>SUBTOTAL 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</si>
  <si>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</si>
  <si>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</si>
  <si>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</si>
  <si>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</si>
  <si>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</si>
  <si>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</si>
  <si>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</si>
  <si>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</si>
  <si>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</si>
  <si>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</si>
  <si>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ect) </t>
  </si>
  <si>
    <t xml:space="preserve">Medida de compensación ambiental </t>
  </si>
  <si>
    <t>Imprevistos</t>
  </si>
  <si>
    <t>Completivo transporte de postes</t>
  </si>
  <si>
    <t>Tramitación de planos eléctricos</t>
  </si>
  <si>
    <t>Interconexión con Edesur</t>
  </si>
  <si>
    <t>TOTAL GASTOS INDIRECTOS</t>
  </si>
  <si>
    <t>TOTAL A EJECUTAR</t>
  </si>
  <si>
    <t>TOTAL A CONTRATAR RD$</t>
  </si>
  <si>
    <t>PROV</t>
  </si>
  <si>
    <t>ZONA</t>
  </si>
  <si>
    <t>TRANSP. %</t>
  </si>
  <si>
    <t>PERS.</t>
  </si>
  <si>
    <t>PROVINCIA AZUA</t>
  </si>
  <si>
    <t>PROVINCIA BAHORUCO</t>
  </si>
  <si>
    <t>VIII</t>
  </si>
  <si>
    <t>ARQ. MEYVER PUJOLS</t>
  </si>
  <si>
    <t>ARQ. DEPTO. EVAL. DE COSTOS DE OBRAS</t>
  </si>
  <si>
    <t>PROVINCIA BARAHONA</t>
  </si>
  <si>
    <t>ARQ. YRMA ESPINOSA</t>
  </si>
  <si>
    <t>ASISTENTE DE DEPTO COSTOS</t>
  </si>
  <si>
    <t>PROVINCIA DAJABON</t>
  </si>
  <si>
    <t>ARQ.JENNY SABA</t>
  </si>
  <si>
    <t>DISTRITO NACIONAL</t>
  </si>
  <si>
    <t>ING. ANA MATEO</t>
  </si>
  <si>
    <t>ING. DEPTO. DE EVAL. DE COSTOS DE OBRAS</t>
  </si>
  <si>
    <t>PROVINCIA DUARTE</t>
  </si>
  <si>
    <t>ING. CLAUdIA DE LEON</t>
  </si>
  <si>
    <t>PROVINCIA EL SEYBO</t>
  </si>
  <si>
    <t>VI</t>
  </si>
  <si>
    <t>ING. FRANCIS HEREDIA</t>
  </si>
  <si>
    <t>PROVINCIA ELIAS PIÑAS</t>
  </si>
  <si>
    <t>ING. JOEL FRANCISCO</t>
  </si>
  <si>
    <t>PROVINCIA ESPAILLAT</t>
  </si>
  <si>
    <t>V</t>
  </si>
  <si>
    <t>ING. MIGUEL PEREZ</t>
  </si>
  <si>
    <t>GENERAL</t>
  </si>
  <si>
    <t>GRAL</t>
  </si>
  <si>
    <t>ING. OSCAR ENCARNACION</t>
  </si>
  <si>
    <t>PROVINCIA HATO MAYOR</t>
  </si>
  <si>
    <t>ING. PABLO GUERRERO</t>
  </si>
  <si>
    <t>PROVINCIA HERMANAS MIRABAL</t>
  </si>
  <si>
    <t>ING. RAMONA MONTAS</t>
  </si>
  <si>
    <t>PROVINCIA INDEPENDENCIA</t>
  </si>
  <si>
    <t>ING. RAMONA TEJADA</t>
  </si>
  <si>
    <t>PROVINCIA LA ALTAGRACIA</t>
  </si>
  <si>
    <t>ING. SANDRA BATISTA</t>
  </si>
  <si>
    <t>PROVINCIA LA ROMANA</t>
  </si>
  <si>
    <t>ING. ZULIKA ROSARIO</t>
  </si>
  <si>
    <t>PROVINCIA LA VEGA</t>
  </si>
  <si>
    <t>ING.MARIA MORALES</t>
  </si>
  <si>
    <t>PROVINCIA MARIA TRINIDAD SANCHEZ</t>
  </si>
  <si>
    <t>ING.MARIANO PEREZ</t>
  </si>
  <si>
    <t>PROVINCIA MONSEÑOR  NOUEL</t>
  </si>
  <si>
    <t>ING.TERESA M. LLUBERES M EJIA</t>
  </si>
  <si>
    <t>ENC. DEPTO. DE EVAL. DE COSTOS DE OBRAS.</t>
  </si>
  <si>
    <t>PROVINCIA MONTE CRITI</t>
  </si>
  <si>
    <t>PROVINCIA MONTE PLATA</t>
  </si>
  <si>
    <t>PROVINCIA PEDERNALES</t>
  </si>
  <si>
    <t>PROVINCIA PERAVIA</t>
  </si>
  <si>
    <t>PROVINCIA PUERTO PLATA</t>
  </si>
  <si>
    <t>VII</t>
  </si>
  <si>
    <t>PROVINCIA SAMANA</t>
  </si>
  <si>
    <t>ELABORADO</t>
  </si>
  <si>
    <t>PROVINCIA SAN CRISTOBAL</t>
  </si>
  <si>
    <t>PREPARADO</t>
  </si>
  <si>
    <t>PROVINCIA SAN JOSE DE OCOA</t>
  </si>
  <si>
    <t>REVISADO</t>
  </si>
  <si>
    <t>PROVINCIA SAN JUAN</t>
  </si>
  <si>
    <t>PROVINCIA SAN PEDRO DE MACORIS</t>
  </si>
  <si>
    <t>PROVINCIA SANCHEZ RAMIREZ</t>
  </si>
  <si>
    <t>PROVINCIA SANTIAGO</t>
  </si>
  <si>
    <t>PROVINCIA SANTIAGO RODRIGUEZ</t>
  </si>
  <si>
    <t>PROVINCIA SANTO  DOMINGO</t>
  </si>
  <si>
    <t>PROVINCIA VALVERDE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</si>
</sst>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#,##0\ &quot;€&quot;;\-#,##0\ &quot;€&quot;"/>
    <numFmt numFmtId="166" formatCode="#,##0\ &quot;€&quot;;[Red]\-#,##0\ &quot;€&quot;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#,##0.00;[Red]#,##0.00"/>
    <numFmt numFmtId="170" formatCode="#,##0.0"/>
    <numFmt numFmtId="171" formatCode="0.0%"/>
    <numFmt numFmtId="172" formatCode="#,##0.000"/>
    <numFmt numFmtId="173" formatCode="&quot;$&quot;#,##0.00;\-&quot;$&quot;#,##0.00"/>
    <numFmt numFmtId="174" formatCode="0.000"/>
    <numFmt numFmtId="175" formatCode="#,##0.0000"/>
    <numFmt numFmtId="176" formatCode="0.0"/>
    <numFmt numFmtId="177" formatCode="_-* #,##0.00_-;\-* #,##0.00_-;_-* &quot;-&quot;??_-;_-@_-"/>
    <numFmt numFmtId="178" formatCode="0.0000"/>
    <numFmt numFmtId="179" formatCode="0.00_)"/>
    <numFmt numFmtId="180" formatCode="#."/>
    <numFmt numFmtId="181" formatCode="0.00000"/>
    <numFmt numFmtId="182" formatCode="#,##0.00000_);\(#,##0.00000\)"/>
    <numFmt numFmtId="183" formatCode="_(* #,##0.000_);_(* \(#,##0.000\);_(* &quot;-&quot;??_);_(@_)"/>
    <numFmt numFmtId="184" formatCode="0.0_)"/>
    <numFmt numFmtId="185" formatCode="_-* #,##0.000_-;\-* #,##0.000_-;_-* &quot;-&quot;??_-;_-@_-"/>
    <numFmt numFmtId="186" formatCode="_-[$€-2]* #,##0.00_-;\-[$€-2]* #,##0.00_-;_-[$€-2]* &quot;-&quot;??_-"/>
    <numFmt numFmtId="187" formatCode="_-* #,##0.00\ _R_D_$_-;\-* #,##0.00\ _R_D_$_-;_-* &quot;-&quot;??\ _R_D_$_-;_-@_-"/>
    <numFmt numFmtId="188" formatCode="#,##0.0;\-#,##0.0"/>
    <numFmt numFmtId="189" formatCode="#,##0.00_ ;\-#,##0.00\ "/>
    <numFmt numFmtId="190" formatCode="0.00;[Red]0.00"/>
    <numFmt numFmtId="191" formatCode="General_)"/>
  </numFmts>
  <fonts count="69">
    <font>
      <sz val="10"/>
      <name val="Arial"/>
    </font>
    <font>
      <sz val="10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12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sz val="10"/>
      <name val="Times New Roman"/>
      <family val="1"/>
    </font>
    <font>
      <b/>
      <u/>
      <sz val="8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4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Square721 BT"/>
      <family val="2"/>
    </font>
    <font>
      <b/>
      <sz val="10"/>
      <color indexed="8"/>
      <name val="Square721 BT"/>
      <family val="2"/>
    </font>
    <font>
      <sz val="10"/>
      <color indexed="8"/>
      <name val="Square721 BT"/>
      <family val="2"/>
    </font>
    <font>
      <sz val="9"/>
      <color indexed="8"/>
      <name val="Square721 BT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sz val="10"/>
      <name val="Tms Rmn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8"/>
      <color indexed="62"/>
      <name val="Cambria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6.5"/>
      <color indexed="8"/>
      <name val="Arial"/>
      <family val="2"/>
    </font>
    <font>
      <b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3" tint="-0.49998474074526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03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6" borderId="0" applyNumberFormat="0" applyBorder="0" applyAlignment="0" applyProtection="0"/>
    <xf numFmtId="0" fontId="36" fillId="3" borderId="0" applyNumberFormat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6" fillId="4" borderId="0" applyNumberFormat="0" applyBorder="0" applyAlignment="0" applyProtection="0"/>
    <xf numFmtId="0" fontId="37" fillId="6" borderId="0" applyNumberFormat="0" applyBorder="0" applyAlignment="0" applyProtection="0"/>
    <xf numFmtId="0" fontId="37" fillId="11" borderId="0" applyNumberFormat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0" fontId="37" fillId="6" borderId="0" applyNumberFormat="0" applyBorder="0" applyAlignment="0" applyProtection="0"/>
    <xf numFmtId="0" fontId="37" fillId="3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8" fillId="8" borderId="0" applyNumberFormat="0" applyBorder="0" applyAlignment="0" applyProtection="0"/>
    <xf numFmtId="0" fontId="49" fillId="16" borderId="1" applyNumberFormat="0" applyAlignment="0" applyProtection="0"/>
    <xf numFmtId="43" fontId="8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80" fontId="11" fillId="0" borderId="0">
      <protection locked="0"/>
    </xf>
    <xf numFmtId="180" fontId="12" fillId="0" borderId="0">
      <protection locked="0"/>
    </xf>
    <xf numFmtId="180" fontId="12" fillId="0" borderId="0">
      <protection locked="0"/>
    </xf>
    <xf numFmtId="180" fontId="12" fillId="0" borderId="0">
      <protection locked="0"/>
    </xf>
    <xf numFmtId="180" fontId="12" fillId="0" borderId="0">
      <protection locked="0"/>
    </xf>
    <xf numFmtId="180" fontId="12" fillId="0" borderId="0">
      <protection locked="0"/>
    </xf>
    <xf numFmtId="180" fontId="12" fillId="0" borderId="0">
      <protection locked="0"/>
    </xf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168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2" fillId="0" borderId="0"/>
    <xf numFmtId="179" fontId="5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39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8" fillId="0" borderId="0"/>
    <xf numFmtId="0" fontId="1" fillId="0" borderId="0"/>
    <xf numFmtId="0" fontId="1" fillId="0" borderId="0"/>
    <xf numFmtId="170" fontId="24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3" fillId="0" borderId="0"/>
    <xf numFmtId="0" fontId="8" fillId="0" borderId="0"/>
    <xf numFmtId="39" fontId="47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39" fillId="16" borderId="4" applyNumberForma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1307">
    <xf numFmtId="0" fontId="0" fillId="0" borderId="0" xfId="0"/>
    <xf numFmtId="0" fontId="14" fillId="17" borderId="0" xfId="88" applyFont="1" applyFill="1" applyAlignment="1"/>
    <xf numFmtId="0" fontId="3" fillId="17" borderId="0" xfId="88" applyFont="1" applyFill="1"/>
    <xf numFmtId="176" fontId="3" fillId="17" borderId="0" xfId="88" applyNumberFormat="1" applyFont="1" applyFill="1"/>
    <xf numFmtId="0" fontId="10" fillId="17" borderId="0" xfId="88" applyFont="1" applyFill="1"/>
    <xf numFmtId="0" fontId="15" fillId="17" borderId="0" xfId="88" applyFont="1" applyFill="1" applyBorder="1" applyAlignment="1">
      <alignment vertical="top" wrapText="1"/>
    </xf>
    <xf numFmtId="0" fontId="2" fillId="17" borderId="0" xfId="88" applyFont="1" applyFill="1" applyBorder="1" applyAlignment="1">
      <alignment vertical="top"/>
    </xf>
    <xf numFmtId="176" fontId="3" fillId="17" borderId="0" xfId="88" applyNumberFormat="1" applyFont="1" applyFill="1" applyAlignment="1">
      <alignment vertical="top"/>
    </xf>
    <xf numFmtId="0" fontId="10" fillId="17" borderId="0" xfId="88" applyFont="1" applyFill="1" applyAlignment="1">
      <alignment vertical="top"/>
    </xf>
    <xf numFmtId="0" fontId="15" fillId="17" borderId="5" xfId="88" applyFont="1" applyFill="1" applyBorder="1" applyAlignment="1">
      <alignment horizontal="center" vertical="top" wrapText="1"/>
    </xf>
    <xf numFmtId="0" fontId="14" fillId="17" borderId="0" xfId="88" applyFont="1" applyFill="1" applyBorder="1" applyAlignment="1">
      <alignment horizontal="center" vertical="top" wrapText="1"/>
    </xf>
    <xf numFmtId="0" fontId="2" fillId="17" borderId="0" xfId="88" quotePrefix="1" applyFont="1" applyFill="1" applyAlignment="1">
      <alignment horizontal="left"/>
    </xf>
    <xf numFmtId="177" fontId="5" fillId="17" borderId="0" xfId="29" applyFont="1" applyFill="1" applyBorder="1"/>
    <xf numFmtId="176" fontId="5" fillId="17" borderId="0" xfId="29" applyNumberFormat="1" applyFont="1" applyFill="1" applyBorder="1"/>
    <xf numFmtId="176" fontId="5" fillId="17" borderId="0" xfId="88" applyNumberFormat="1" applyFont="1" applyFill="1"/>
    <xf numFmtId="0" fontId="5" fillId="17" borderId="0" xfId="88" applyFont="1" applyFill="1"/>
    <xf numFmtId="4" fontId="10" fillId="17" borderId="0" xfId="88" applyNumberFormat="1" applyFont="1" applyFill="1"/>
    <xf numFmtId="39" fontId="10" fillId="17" borderId="0" xfId="88" quotePrefix="1" applyNumberFormat="1" applyFont="1" applyFill="1" applyBorder="1" applyAlignment="1">
      <alignment horizontal="left"/>
    </xf>
    <xf numFmtId="0" fontId="13" fillId="17" borderId="0" xfId="88" quotePrefix="1" applyFont="1" applyFill="1" applyAlignment="1">
      <alignment horizontal="left"/>
    </xf>
    <xf numFmtId="0" fontId="10" fillId="17" borderId="6" xfId="88" applyFont="1" applyFill="1" applyBorder="1"/>
    <xf numFmtId="4" fontId="10" fillId="17" borderId="7" xfId="88" applyNumberFormat="1" applyFont="1" applyFill="1" applyBorder="1"/>
    <xf numFmtId="4" fontId="10" fillId="17" borderId="8" xfId="29" applyNumberFormat="1" applyFont="1" applyFill="1" applyBorder="1"/>
    <xf numFmtId="4" fontId="10" fillId="17" borderId="9" xfId="88" applyNumberFormat="1" applyFont="1" applyFill="1" applyBorder="1"/>
    <xf numFmtId="0" fontId="10" fillId="17" borderId="10" xfId="88" applyFont="1" applyFill="1" applyBorder="1"/>
    <xf numFmtId="4" fontId="10" fillId="17" borderId="11" xfId="88" applyNumberFormat="1" applyFont="1" applyFill="1" applyBorder="1"/>
    <xf numFmtId="39" fontId="5" fillId="17" borderId="0" xfId="88" applyNumberFormat="1" applyFont="1" applyFill="1" applyBorder="1"/>
    <xf numFmtId="4" fontId="13" fillId="17" borderId="12" xfId="88" quotePrefix="1" applyNumberFormat="1" applyFont="1" applyFill="1" applyBorder="1" applyAlignment="1">
      <alignment horizontal="right"/>
    </xf>
    <xf numFmtId="4" fontId="13" fillId="17" borderId="13" xfId="88" applyNumberFormat="1" applyFont="1" applyFill="1" applyBorder="1"/>
    <xf numFmtId="39" fontId="16" fillId="17" borderId="0" xfId="88" applyNumberFormat="1" applyFont="1" applyFill="1" applyBorder="1"/>
    <xf numFmtId="0" fontId="10" fillId="17" borderId="14" xfId="88" applyFont="1" applyFill="1" applyBorder="1"/>
    <xf numFmtId="39" fontId="16" fillId="17" borderId="0" xfId="88" applyNumberFormat="1" applyFont="1" applyFill="1" applyBorder="1" applyAlignment="1">
      <alignment horizontal="right"/>
    </xf>
    <xf numFmtId="0" fontId="10" fillId="17" borderId="0" xfId="88" applyFont="1" applyFill="1" applyBorder="1"/>
    <xf numFmtId="4" fontId="10" fillId="17" borderId="0" xfId="88" applyNumberFormat="1" applyFont="1" applyFill="1" applyBorder="1"/>
    <xf numFmtId="176" fontId="16" fillId="17" borderId="0" xfId="88" quotePrefix="1" applyNumberFormat="1" applyFont="1" applyFill="1" applyBorder="1" applyAlignment="1">
      <alignment horizontal="left"/>
    </xf>
    <xf numFmtId="39" fontId="10" fillId="0" borderId="7" xfId="88" applyNumberFormat="1" applyFont="1" applyFill="1" applyBorder="1" applyAlignment="1">
      <alignment horizontal="centerContinuous"/>
    </xf>
    <xf numFmtId="39" fontId="10" fillId="0" borderId="11" xfId="88" applyNumberFormat="1" applyFont="1" applyFill="1" applyBorder="1" applyAlignment="1">
      <alignment horizontal="centerContinuous"/>
    </xf>
    <xf numFmtId="4" fontId="10" fillId="17" borderId="12" xfId="88" applyNumberFormat="1" applyFont="1" applyFill="1" applyBorder="1"/>
    <xf numFmtId="0" fontId="10" fillId="0" borderId="12" xfId="88" applyFont="1" applyFill="1" applyBorder="1" applyAlignment="1">
      <alignment horizontal="centerContinuous"/>
    </xf>
    <xf numFmtId="4" fontId="13" fillId="17" borderId="12" xfId="88" applyNumberFormat="1" applyFont="1" applyFill="1" applyBorder="1" applyAlignment="1">
      <alignment horizontal="right"/>
    </xf>
    <xf numFmtId="4" fontId="13" fillId="17" borderId="13" xfId="88" applyNumberFormat="1" applyFont="1" applyFill="1" applyBorder="1" applyAlignment="1">
      <alignment horizontal="right"/>
    </xf>
    <xf numFmtId="4" fontId="13" fillId="17" borderId="0" xfId="88" applyNumberFormat="1" applyFont="1" applyFill="1" applyBorder="1" applyAlignment="1">
      <alignment horizontal="right"/>
    </xf>
    <xf numFmtId="0" fontId="2" fillId="17" borderId="0" xfId="88" applyFont="1" applyFill="1"/>
    <xf numFmtId="2" fontId="5" fillId="17" borderId="0" xfId="88" applyNumberFormat="1" applyFont="1" applyFill="1" applyBorder="1"/>
    <xf numFmtId="0" fontId="13" fillId="17" borderId="0" xfId="88" applyFont="1" applyFill="1" applyBorder="1"/>
    <xf numFmtId="0" fontId="13" fillId="17" borderId="0" xfId="88" applyFont="1" applyFill="1"/>
    <xf numFmtId="0" fontId="5" fillId="17" borderId="0" xfId="88" applyFont="1" applyFill="1" applyBorder="1"/>
    <xf numFmtId="4" fontId="13" fillId="17" borderId="0" xfId="88" applyNumberFormat="1" applyFont="1" applyFill="1" applyAlignment="1">
      <alignment horizontal="right"/>
    </xf>
    <xf numFmtId="39" fontId="16" fillId="17" borderId="0" xfId="88" applyNumberFormat="1" applyFont="1" applyFill="1" applyAlignment="1">
      <alignment horizontal="right"/>
    </xf>
    <xf numFmtId="0" fontId="10" fillId="0" borderId="7" xfId="88" applyFont="1" applyFill="1" applyBorder="1" applyAlignment="1">
      <alignment horizontal="centerContinuous"/>
    </xf>
    <xf numFmtId="0" fontId="10" fillId="0" borderId="11" xfId="88" applyFont="1" applyFill="1" applyBorder="1" applyAlignment="1">
      <alignment horizontal="centerContinuous"/>
    </xf>
    <xf numFmtId="0" fontId="10" fillId="0" borderId="12" xfId="88" applyFont="1" applyFill="1" applyBorder="1"/>
    <xf numFmtId="4" fontId="10" fillId="17" borderId="7" xfId="29" applyNumberFormat="1" applyFont="1" applyFill="1" applyBorder="1"/>
    <xf numFmtId="4" fontId="10" fillId="17" borderId="11" xfId="29" applyNumberFormat="1" applyFont="1" applyFill="1" applyBorder="1"/>
    <xf numFmtId="2" fontId="16" fillId="17" borderId="0" xfId="88" applyNumberFormat="1" applyFont="1" applyFill="1" applyBorder="1" applyAlignment="1">
      <alignment horizontal="right"/>
    </xf>
    <xf numFmtId="0" fontId="17" fillId="17" borderId="15" xfId="88" applyFont="1" applyFill="1" applyBorder="1"/>
    <xf numFmtId="4" fontId="10" fillId="17" borderId="16" xfId="88" applyNumberFormat="1" applyFont="1" applyFill="1" applyBorder="1"/>
    <xf numFmtId="39" fontId="10" fillId="17" borderId="16" xfId="88" applyNumberFormat="1" applyFont="1" applyFill="1" applyBorder="1" applyAlignment="1">
      <alignment horizontal="center"/>
    </xf>
    <xf numFmtId="4" fontId="10" fillId="17" borderId="7" xfId="88" applyNumberFormat="1" applyFont="1" applyFill="1" applyBorder="1" applyAlignment="1">
      <alignment horizontal="right"/>
    </xf>
    <xf numFmtId="4" fontId="17" fillId="17" borderId="8" xfId="88" applyNumberFormat="1" applyFont="1" applyFill="1" applyBorder="1"/>
    <xf numFmtId="2" fontId="16" fillId="17" borderId="0" xfId="88" applyNumberFormat="1" applyFont="1" applyFill="1" applyAlignment="1">
      <alignment horizontal="right"/>
    </xf>
    <xf numFmtId="0" fontId="17" fillId="17" borderId="14" xfId="88" applyFont="1" applyFill="1" applyBorder="1"/>
    <xf numFmtId="39" fontId="10" fillId="17" borderId="12" xfId="88" applyNumberFormat="1" applyFont="1" applyFill="1" applyBorder="1" applyAlignment="1">
      <alignment horizontal="center"/>
    </xf>
    <xf numFmtId="4" fontId="10" fillId="17" borderId="17" xfId="88" applyNumberFormat="1" applyFont="1" applyFill="1" applyBorder="1" applyAlignment="1">
      <alignment horizontal="right"/>
    </xf>
    <xf numFmtId="4" fontId="17" fillId="17" borderId="13" xfId="88" applyNumberFormat="1" applyFont="1" applyFill="1" applyBorder="1"/>
    <xf numFmtId="0" fontId="13" fillId="17" borderId="18" xfId="88" applyFont="1" applyFill="1" applyBorder="1"/>
    <xf numFmtId="4" fontId="13" fillId="17" borderId="19" xfId="88" applyNumberFormat="1" applyFont="1" applyFill="1" applyBorder="1"/>
    <xf numFmtId="39" fontId="10" fillId="17" borderId="19" xfId="88" quotePrefix="1" applyNumberFormat="1" applyFont="1" applyFill="1" applyBorder="1" applyAlignment="1">
      <alignment horizontal="left"/>
    </xf>
    <xf numFmtId="4" fontId="13" fillId="17" borderId="19" xfId="88" applyNumberFormat="1" applyFont="1" applyFill="1" applyBorder="1" applyAlignment="1">
      <alignment horizontal="right"/>
    </xf>
    <xf numFmtId="4" fontId="13" fillId="17" borderId="20" xfId="88" applyNumberFormat="1" applyFont="1" applyFill="1" applyBorder="1"/>
    <xf numFmtId="0" fontId="17" fillId="17" borderId="6" xfId="88" applyFont="1" applyFill="1" applyBorder="1"/>
    <xf numFmtId="39" fontId="10" fillId="17" borderId="7" xfId="88" applyNumberFormat="1" applyFont="1" applyFill="1" applyBorder="1" applyAlignment="1">
      <alignment horizontal="center"/>
    </xf>
    <xf numFmtId="4" fontId="17" fillId="17" borderId="21" xfId="88" applyNumberFormat="1" applyFont="1" applyFill="1" applyBorder="1"/>
    <xf numFmtId="0" fontId="17" fillId="17" borderId="10" xfId="88" applyFont="1" applyFill="1" applyBorder="1"/>
    <xf numFmtId="39" fontId="10" fillId="17" borderId="11" xfId="88" applyNumberFormat="1" applyFont="1" applyFill="1" applyBorder="1" applyAlignment="1">
      <alignment horizontal="center"/>
    </xf>
    <xf numFmtId="4" fontId="10" fillId="17" borderId="11" xfId="88" applyNumberFormat="1" applyFont="1" applyFill="1" applyBorder="1" applyAlignment="1">
      <alignment horizontal="right"/>
    </xf>
    <xf numFmtId="4" fontId="17" fillId="17" borderId="9" xfId="88" applyNumberFormat="1" applyFont="1" applyFill="1" applyBorder="1"/>
    <xf numFmtId="2" fontId="16" fillId="17" borderId="0" xfId="88" applyNumberFormat="1" applyFont="1" applyFill="1" applyAlignment="1">
      <alignment horizontal="left"/>
    </xf>
    <xf numFmtId="4" fontId="10" fillId="17" borderId="12" xfId="88" applyNumberFormat="1" applyFont="1" applyFill="1" applyBorder="1" applyAlignment="1">
      <alignment horizontal="right"/>
    </xf>
    <xf numFmtId="4" fontId="13" fillId="17" borderId="0" xfId="88" applyNumberFormat="1" applyFont="1" applyFill="1" applyAlignment="1">
      <alignment horizontal="left"/>
    </xf>
    <xf numFmtId="39" fontId="10" fillId="0" borderId="12" xfId="88" applyNumberFormat="1" applyFont="1" applyFill="1" applyBorder="1" applyAlignment="1">
      <alignment horizontal="centerContinuous"/>
    </xf>
    <xf numFmtId="0" fontId="13" fillId="17" borderId="6" xfId="88" applyFont="1" applyFill="1" applyBorder="1"/>
    <xf numFmtId="4" fontId="13" fillId="17" borderId="7" xfId="88" applyNumberFormat="1" applyFont="1" applyFill="1" applyBorder="1"/>
    <xf numFmtId="39" fontId="10" fillId="17" borderId="7" xfId="88" quotePrefix="1" applyNumberFormat="1" applyFont="1" applyFill="1" applyBorder="1" applyAlignment="1">
      <alignment horizontal="left"/>
    </xf>
    <xf numFmtId="4" fontId="13" fillId="17" borderId="7" xfId="88" quotePrefix="1" applyNumberFormat="1" applyFont="1" applyFill="1" applyBorder="1" applyAlignment="1">
      <alignment horizontal="right"/>
    </xf>
    <xf numFmtId="4" fontId="13" fillId="17" borderId="8" xfId="88" applyNumberFormat="1" applyFont="1" applyFill="1" applyBorder="1"/>
    <xf numFmtId="4" fontId="10" fillId="17" borderId="12" xfId="88" quotePrefix="1" applyNumberFormat="1" applyFont="1" applyFill="1" applyBorder="1" applyAlignment="1">
      <alignment horizontal="right"/>
    </xf>
    <xf numFmtId="0" fontId="17" fillId="17" borderId="0" xfId="88" applyFont="1" applyFill="1" applyBorder="1"/>
    <xf numFmtId="39" fontId="10" fillId="0" borderId="0" xfId="88" applyNumberFormat="1" applyFont="1" applyFill="1" applyBorder="1" applyAlignment="1">
      <alignment horizontal="centerContinuous"/>
    </xf>
    <xf numFmtId="175" fontId="10" fillId="17" borderId="7" xfId="88" applyNumberFormat="1" applyFont="1" applyFill="1" applyBorder="1"/>
    <xf numFmtId="0" fontId="0" fillId="17" borderId="0" xfId="0" applyFill="1"/>
    <xf numFmtId="0" fontId="8" fillId="17" borderId="7" xfId="0" applyFont="1" applyFill="1" applyBorder="1" applyAlignment="1">
      <alignment horizontal="center"/>
    </xf>
    <xf numFmtId="4" fontId="8" fillId="17" borderId="7" xfId="0" applyNumberFormat="1" applyFont="1" applyFill="1" applyBorder="1"/>
    <xf numFmtId="2" fontId="8" fillId="17" borderId="11" xfId="0" applyNumberFormat="1" applyFont="1" applyFill="1" applyBorder="1"/>
    <xf numFmtId="0" fontId="8" fillId="17" borderId="11" xfId="0" applyFont="1" applyFill="1" applyBorder="1" applyAlignment="1">
      <alignment horizontal="center"/>
    </xf>
    <xf numFmtId="2" fontId="5" fillId="17" borderId="0" xfId="88" applyNumberFormat="1" applyFont="1" applyFill="1"/>
    <xf numFmtId="4" fontId="5" fillId="17" borderId="0" xfId="88" applyNumberFormat="1" applyFont="1" applyFill="1"/>
    <xf numFmtId="0" fontId="8" fillId="17" borderId="6" xfId="0" applyFont="1" applyFill="1" applyBorder="1" applyAlignment="1">
      <alignment horizontal="left"/>
    </xf>
    <xf numFmtId="0" fontId="8" fillId="17" borderId="10" xfId="0" applyFont="1" applyFill="1" applyBorder="1" applyAlignment="1">
      <alignment horizontal="left"/>
    </xf>
    <xf numFmtId="0" fontId="8" fillId="17" borderId="22" xfId="0" applyFont="1" applyFill="1" applyBorder="1" applyAlignment="1">
      <alignment horizontal="left"/>
    </xf>
    <xf numFmtId="0" fontId="19" fillId="17" borderId="0" xfId="88" applyFont="1" applyFill="1" applyAlignment="1">
      <alignment horizontal="centerContinuous"/>
    </xf>
    <xf numFmtId="0" fontId="10" fillId="17" borderId="11" xfId="88" applyFont="1" applyFill="1" applyBorder="1"/>
    <xf numFmtId="0" fontId="10" fillId="17" borderId="12" xfId="88" applyFont="1" applyFill="1" applyBorder="1"/>
    <xf numFmtId="174" fontId="5" fillId="17" borderId="0" xfId="88" applyNumberFormat="1" applyFont="1" applyFill="1" applyBorder="1"/>
    <xf numFmtId="0" fontId="8" fillId="0" borderId="0" xfId="88" applyFont="1" applyFill="1"/>
    <xf numFmtId="0" fontId="8" fillId="17" borderId="0" xfId="88" applyFont="1" applyFill="1"/>
    <xf numFmtId="0" fontId="16" fillId="17" borderId="0" xfId="88" applyFont="1" applyFill="1" applyBorder="1" applyAlignment="1">
      <alignment horizontal="right"/>
    </xf>
    <xf numFmtId="2" fontId="13" fillId="17" borderId="0" xfId="88" applyNumberFormat="1" applyFont="1" applyFill="1" applyBorder="1" applyAlignment="1">
      <alignment horizontal="right"/>
    </xf>
    <xf numFmtId="0" fontId="21" fillId="17" borderId="0" xfId="88" applyFont="1" applyFill="1"/>
    <xf numFmtId="0" fontId="8" fillId="17" borderId="0" xfId="88" applyFont="1" applyFill="1" applyBorder="1"/>
    <xf numFmtId="0" fontId="7" fillId="17" borderId="0" xfId="88" applyFont="1" applyFill="1" applyBorder="1" applyAlignment="1">
      <alignment horizontal="right"/>
    </xf>
    <xf numFmtId="39" fontId="7" fillId="17" borderId="0" xfId="88" applyNumberFormat="1" applyFont="1" applyFill="1" applyBorder="1" applyAlignment="1">
      <alignment horizontal="right"/>
    </xf>
    <xf numFmtId="2" fontId="7" fillId="17" borderId="0" xfId="88" applyNumberFormat="1" applyFont="1" applyFill="1" applyBorder="1" applyAlignment="1">
      <alignment horizontal="right"/>
    </xf>
    <xf numFmtId="0" fontId="22" fillId="17" borderId="0" xfId="88" quotePrefix="1" applyFont="1" applyFill="1" applyAlignment="1">
      <alignment horizontal="left"/>
    </xf>
    <xf numFmtId="0" fontId="23" fillId="17" borderId="0" xfId="88" applyFont="1" applyFill="1"/>
    <xf numFmtId="172" fontId="8" fillId="0" borderId="0" xfId="88" applyNumberFormat="1" applyFont="1" applyFill="1"/>
    <xf numFmtId="0" fontId="7" fillId="17" borderId="0" xfId="88" applyFont="1" applyFill="1" applyBorder="1" applyAlignment="1"/>
    <xf numFmtId="0" fontId="24" fillId="17" borderId="0" xfId="88" applyFont="1" applyFill="1" applyBorder="1" applyAlignment="1"/>
    <xf numFmtId="0" fontId="25" fillId="17" borderId="0" xfId="88" applyFont="1" applyFill="1" applyBorder="1"/>
    <xf numFmtId="0" fontId="25" fillId="17" borderId="0" xfId="88" applyFont="1" applyFill="1"/>
    <xf numFmtId="4" fontId="25" fillId="17" borderId="0" xfId="88" applyNumberFormat="1" applyFont="1" applyFill="1"/>
    <xf numFmtId="0" fontId="26" fillId="17" borderId="6" xfId="88" applyFont="1" applyFill="1" applyBorder="1"/>
    <xf numFmtId="0" fontId="26" fillId="17" borderId="7" xfId="88" applyFont="1" applyFill="1" applyBorder="1"/>
    <xf numFmtId="0" fontId="26" fillId="17" borderId="7" xfId="88" applyFont="1" applyFill="1" applyBorder="1" applyAlignment="1">
      <alignment horizontal="centerContinuous"/>
    </xf>
    <xf numFmtId="4" fontId="26" fillId="17" borderId="7" xfId="88" applyNumberFormat="1" applyFont="1" applyFill="1" applyBorder="1"/>
    <xf numFmtId="0" fontId="26" fillId="17" borderId="10" xfId="88" applyFont="1" applyFill="1" applyBorder="1"/>
    <xf numFmtId="2" fontId="26" fillId="17" borderId="11" xfId="88" applyNumberFormat="1" applyFont="1" applyFill="1" applyBorder="1"/>
    <xf numFmtId="0" fontId="26" fillId="17" borderId="11" xfId="88" applyFont="1" applyFill="1" applyBorder="1" applyAlignment="1">
      <alignment horizontal="centerContinuous"/>
    </xf>
    <xf numFmtId="4" fontId="26" fillId="17" borderId="11" xfId="88" applyNumberFormat="1" applyFont="1" applyFill="1" applyBorder="1"/>
    <xf numFmtId="0" fontId="26" fillId="17" borderId="22" xfId="88" applyFont="1" applyFill="1" applyBorder="1"/>
    <xf numFmtId="2" fontId="26" fillId="17" borderId="23" xfId="88" applyNumberFormat="1" applyFont="1" applyFill="1" applyBorder="1"/>
    <xf numFmtId="0" fontId="26" fillId="17" borderId="23" xfId="88" applyFont="1" applyFill="1" applyBorder="1" applyAlignment="1">
      <alignment horizontal="centerContinuous"/>
    </xf>
    <xf numFmtId="4" fontId="26" fillId="17" borderId="23" xfId="88" applyNumberFormat="1" applyFont="1" applyFill="1" applyBorder="1"/>
    <xf numFmtId="0" fontId="26" fillId="17" borderId="14" xfId="88" applyFont="1" applyFill="1" applyBorder="1"/>
    <xf numFmtId="0" fontId="26" fillId="17" borderId="12" xfId="88" applyFont="1" applyFill="1" applyBorder="1"/>
    <xf numFmtId="0" fontId="27" fillId="17" borderId="12" xfId="88" applyFont="1" applyFill="1" applyBorder="1" applyAlignment="1">
      <alignment horizontal="right"/>
    </xf>
    <xf numFmtId="4" fontId="27" fillId="17" borderId="13" xfId="88" applyNumberFormat="1" applyFont="1" applyFill="1" applyBorder="1" applyAlignment="1">
      <alignment horizontal="right"/>
    </xf>
    <xf numFmtId="0" fontId="26" fillId="17" borderId="0" xfId="85" applyFont="1" applyFill="1" applyBorder="1"/>
    <xf numFmtId="4" fontId="26" fillId="17" borderId="0" xfId="85" applyNumberFormat="1" applyFont="1" applyFill="1" applyBorder="1"/>
    <xf numFmtId="0" fontId="26" fillId="17" borderId="11" xfId="87" applyFont="1" applyFill="1" applyBorder="1" applyAlignment="1"/>
    <xf numFmtId="0" fontId="26" fillId="17" borderId="11" xfId="85" applyFont="1" applyFill="1" applyBorder="1" applyAlignment="1">
      <alignment horizontal="center"/>
    </xf>
    <xf numFmtId="4" fontId="26" fillId="17" borderId="11" xfId="85" applyNumberFormat="1" applyFont="1" applyFill="1" applyBorder="1" applyAlignment="1">
      <alignment horizontal="right"/>
    </xf>
    <xf numFmtId="4" fontId="26" fillId="17" borderId="11" xfId="85" applyNumberFormat="1" applyFont="1" applyFill="1" applyBorder="1" applyAlignment="1"/>
    <xf numFmtId="2" fontId="26" fillId="17" borderId="11" xfId="87" applyNumberFormat="1" applyFont="1" applyFill="1" applyBorder="1" applyAlignment="1"/>
    <xf numFmtId="2" fontId="26" fillId="17" borderId="11" xfId="85" applyNumberFormat="1" applyFont="1" applyFill="1" applyBorder="1" applyAlignment="1">
      <alignment horizontal="right"/>
    </xf>
    <xf numFmtId="0" fontId="27" fillId="17" borderId="11" xfId="85" applyFont="1" applyFill="1" applyBorder="1" applyAlignment="1">
      <alignment horizontal="left"/>
    </xf>
    <xf numFmtId="0" fontId="27" fillId="17" borderId="11" xfId="85" applyFont="1" applyFill="1" applyBorder="1" applyAlignment="1">
      <alignment horizontal="center"/>
    </xf>
    <xf numFmtId="4" fontId="7" fillId="17" borderId="12" xfId="84" applyNumberFormat="1" applyFont="1" applyFill="1" applyBorder="1" applyAlignment="1">
      <alignment horizontal="right"/>
    </xf>
    <xf numFmtId="4" fontId="3" fillId="17" borderId="0" xfId="88" applyNumberFormat="1" applyFont="1" applyFill="1"/>
    <xf numFmtId="0" fontId="27" fillId="17" borderId="0" xfId="88" applyFont="1" applyFill="1" applyBorder="1"/>
    <xf numFmtId="0" fontId="13" fillId="17" borderId="5" xfId="0" applyFont="1" applyFill="1" applyBorder="1" applyAlignment="1" applyProtection="1">
      <alignment horizontal="left" vertical="center"/>
    </xf>
    <xf numFmtId="0" fontId="10" fillId="17" borderId="5" xfId="0" applyFont="1" applyFill="1" applyBorder="1" applyAlignment="1">
      <alignment horizontal="right" vertical="center"/>
    </xf>
    <xf numFmtId="0" fontId="10" fillId="17" borderId="5" xfId="0" applyFont="1" applyFill="1" applyBorder="1" applyAlignment="1">
      <alignment horizontal="center" vertical="center"/>
    </xf>
    <xf numFmtId="0" fontId="10" fillId="17" borderId="24" xfId="0" quotePrefix="1" applyFont="1" applyFill="1" applyBorder="1" applyAlignment="1" applyProtection="1">
      <alignment horizontal="left" vertical="center"/>
    </xf>
    <xf numFmtId="0" fontId="10" fillId="17" borderId="24" xfId="0" applyFont="1" applyFill="1" applyBorder="1" applyAlignment="1" applyProtection="1">
      <alignment horizontal="right" vertical="center"/>
    </xf>
    <xf numFmtId="0" fontId="10" fillId="17" borderId="24" xfId="0" applyFont="1" applyFill="1" applyBorder="1" applyAlignment="1" applyProtection="1">
      <alignment horizontal="center" vertical="center"/>
    </xf>
    <xf numFmtId="4" fontId="10" fillId="17" borderId="24" xfId="0" applyNumberFormat="1" applyFont="1" applyFill="1" applyBorder="1" applyAlignment="1" applyProtection="1">
      <alignment horizontal="right" vertical="center"/>
    </xf>
    <xf numFmtId="0" fontId="10" fillId="17" borderId="11" xfId="0" quotePrefix="1" applyFont="1" applyFill="1" applyBorder="1" applyAlignment="1" applyProtection="1">
      <alignment horizontal="left" vertical="center"/>
    </xf>
    <xf numFmtId="2" fontId="10" fillId="17" borderId="11" xfId="0" applyNumberFormat="1" applyFont="1" applyFill="1" applyBorder="1" applyAlignment="1" applyProtection="1">
      <alignment horizontal="right" vertical="center"/>
    </xf>
    <xf numFmtId="0" fontId="10" fillId="17" borderId="11" xfId="0" applyFont="1" applyFill="1" applyBorder="1" applyAlignment="1" applyProtection="1">
      <alignment horizontal="center" vertical="center"/>
    </xf>
    <xf numFmtId="4" fontId="10" fillId="17" borderId="11" xfId="0" applyNumberFormat="1" applyFont="1" applyFill="1" applyBorder="1" applyAlignment="1" applyProtection="1">
      <alignment horizontal="right" vertical="center"/>
    </xf>
    <xf numFmtId="0" fontId="10" fillId="17" borderId="11" xfId="0" applyFont="1" applyFill="1" applyBorder="1" applyAlignment="1">
      <alignment horizontal="center" vertical="center"/>
    </xf>
    <xf numFmtId="0" fontId="10" fillId="17" borderId="25" xfId="0" applyFont="1" applyFill="1" applyBorder="1" applyAlignment="1">
      <alignment vertical="center"/>
    </xf>
    <xf numFmtId="0" fontId="10" fillId="17" borderId="25" xfId="0" applyFont="1" applyFill="1" applyBorder="1" applyAlignment="1">
      <alignment horizontal="right" vertical="center"/>
    </xf>
    <xf numFmtId="0" fontId="10" fillId="17" borderId="25" xfId="0" applyFont="1" applyFill="1" applyBorder="1" applyAlignment="1">
      <alignment horizontal="center" vertical="center"/>
    </xf>
    <xf numFmtId="4" fontId="17" fillId="17" borderId="0" xfId="88" applyNumberFormat="1" applyFont="1" applyFill="1"/>
    <xf numFmtId="0" fontId="10" fillId="17" borderId="0" xfId="88" applyFont="1" applyFill="1" applyAlignment="1">
      <alignment horizontal="center"/>
    </xf>
    <xf numFmtId="4" fontId="9" fillId="17" borderId="0" xfId="88" applyNumberFormat="1" applyFont="1" applyFill="1"/>
    <xf numFmtId="0" fontId="10" fillId="17" borderId="7" xfId="88" applyFont="1" applyFill="1" applyBorder="1" applyAlignment="1">
      <alignment horizontal="center"/>
    </xf>
    <xf numFmtId="2" fontId="3" fillId="17" borderId="0" xfId="88" applyNumberFormat="1" applyFont="1" applyFill="1"/>
    <xf numFmtId="0" fontId="10" fillId="17" borderId="26" xfId="88" applyFont="1" applyFill="1" applyBorder="1"/>
    <xf numFmtId="4" fontId="10" fillId="17" borderId="27" xfId="88" applyNumberFormat="1" applyFont="1" applyFill="1" applyBorder="1"/>
    <xf numFmtId="0" fontId="10" fillId="17" borderId="27" xfId="88" applyFont="1" applyFill="1" applyBorder="1"/>
    <xf numFmtId="4" fontId="17" fillId="17" borderId="27" xfId="84" applyNumberFormat="1" applyFont="1" applyFill="1" applyBorder="1" applyAlignment="1">
      <alignment horizontal="right"/>
    </xf>
    <xf numFmtId="4" fontId="17" fillId="17" borderId="28" xfId="88" applyNumberFormat="1" applyFont="1" applyFill="1" applyBorder="1"/>
    <xf numFmtId="4" fontId="9" fillId="17" borderId="27" xfId="84" applyNumberFormat="1" applyFont="1" applyFill="1" applyBorder="1" applyAlignment="1">
      <alignment horizontal="right"/>
    </xf>
    <xf numFmtId="4" fontId="9" fillId="17" borderId="28" xfId="88" applyNumberFormat="1" applyFont="1" applyFill="1" applyBorder="1"/>
    <xf numFmtId="0" fontId="10" fillId="17" borderId="12" xfId="88" applyFont="1" applyFill="1" applyBorder="1" applyAlignment="1">
      <alignment horizontal="center"/>
    </xf>
    <xf numFmtId="4" fontId="8" fillId="17" borderId="12" xfId="84" applyNumberFormat="1" applyFont="1" applyFill="1" applyBorder="1" applyAlignment="1">
      <alignment horizontal="right"/>
    </xf>
    <xf numFmtId="0" fontId="10" fillId="17" borderId="7" xfId="88" applyFont="1" applyFill="1" applyBorder="1"/>
    <xf numFmtId="4" fontId="7" fillId="17" borderId="7" xfId="84" applyNumberFormat="1" applyFont="1" applyFill="1" applyBorder="1" applyAlignment="1">
      <alignment horizontal="right"/>
    </xf>
    <xf numFmtId="4" fontId="17" fillId="17" borderId="12" xfId="84" applyNumberFormat="1" applyFont="1" applyFill="1" applyBorder="1" applyAlignment="1">
      <alignment horizontal="right"/>
    </xf>
    <xf numFmtId="0" fontId="7" fillId="17" borderId="15" xfId="84" applyFont="1" applyFill="1" applyBorder="1" applyAlignment="1">
      <alignment horizontal="left"/>
    </xf>
    <xf numFmtId="0" fontId="7" fillId="17" borderId="16" xfId="84" applyFont="1" applyFill="1" applyBorder="1" applyAlignment="1">
      <alignment horizontal="left" vertical="top" wrapText="1"/>
    </xf>
    <xf numFmtId="0" fontId="7" fillId="17" borderId="16" xfId="84" applyFont="1" applyFill="1" applyBorder="1" applyAlignment="1">
      <alignment horizontal="center" vertical="top" wrapText="1"/>
    </xf>
    <xf numFmtId="0" fontId="7" fillId="17" borderId="21" xfId="84" applyFont="1" applyFill="1" applyBorder="1" applyAlignment="1">
      <alignment horizontal="left" vertical="top" wrapText="1"/>
    </xf>
    <xf numFmtId="0" fontId="8" fillId="17" borderId="10" xfId="84" applyFont="1" applyFill="1" applyBorder="1"/>
    <xf numFmtId="2" fontId="8" fillId="17" borderId="11" xfId="84" applyNumberFormat="1" applyFont="1" applyFill="1" applyBorder="1"/>
    <xf numFmtId="0" fontId="8" fillId="17" borderId="11" xfId="84" applyFont="1" applyFill="1" applyBorder="1" applyAlignment="1">
      <alignment horizontal="center"/>
    </xf>
    <xf numFmtId="4" fontId="8" fillId="17" borderId="11" xfId="84" applyNumberFormat="1" applyFont="1" applyFill="1" applyBorder="1"/>
    <xf numFmtId="174" fontId="8" fillId="17" borderId="11" xfId="84" applyNumberFormat="1" applyFont="1" applyFill="1" applyBorder="1"/>
    <xf numFmtId="4" fontId="7" fillId="17" borderId="9" xfId="84" applyNumberFormat="1" applyFont="1" applyFill="1" applyBorder="1"/>
    <xf numFmtId="0" fontId="8" fillId="17" borderId="14" xfId="84" applyFont="1" applyFill="1" applyBorder="1"/>
    <xf numFmtId="0" fontId="8" fillId="17" borderId="12" xfId="84" applyFont="1" applyFill="1" applyBorder="1"/>
    <xf numFmtId="164" fontId="8" fillId="17" borderId="12" xfId="84" applyNumberFormat="1" applyFont="1" applyFill="1" applyBorder="1" applyAlignment="1">
      <alignment horizontal="center"/>
    </xf>
    <xf numFmtId="4" fontId="7" fillId="17" borderId="13" xfId="84" applyNumberFormat="1" applyFont="1" applyFill="1" applyBorder="1" applyAlignment="1">
      <alignment horizontal="right"/>
    </xf>
    <xf numFmtId="4" fontId="10" fillId="17" borderId="0" xfId="88" applyNumberFormat="1" applyFont="1" applyFill="1" applyAlignment="1">
      <alignment horizontal="right"/>
    </xf>
    <xf numFmtId="3" fontId="10" fillId="17" borderId="0" xfId="88" applyNumberFormat="1" applyFont="1" applyFill="1" applyAlignment="1">
      <alignment horizontal="left"/>
    </xf>
    <xf numFmtId="176" fontId="10" fillId="17" borderId="0" xfId="88" applyNumberFormat="1" applyFont="1" applyFill="1"/>
    <xf numFmtId="174" fontId="3" fillId="17" borderId="0" xfId="88" applyNumberFormat="1" applyFont="1" applyFill="1"/>
    <xf numFmtId="4" fontId="2" fillId="17" borderId="0" xfId="88" applyNumberFormat="1" applyFont="1" applyFill="1"/>
    <xf numFmtId="0" fontId="3" fillId="17" borderId="0" xfId="88" applyFont="1" applyFill="1" applyAlignment="1">
      <alignment horizontal="center"/>
    </xf>
    <xf numFmtId="4" fontId="17" fillId="17" borderId="7" xfId="84" applyNumberFormat="1" applyFont="1" applyFill="1" applyBorder="1" applyAlignment="1">
      <alignment horizontal="right"/>
    </xf>
    <xf numFmtId="0" fontId="3" fillId="0" borderId="0" xfId="88" applyFont="1" applyFill="1"/>
    <xf numFmtId="0" fontId="27" fillId="17" borderId="0" xfId="88" applyFont="1" applyFill="1"/>
    <xf numFmtId="0" fontId="26" fillId="17" borderId="0" xfId="88" applyFont="1" applyFill="1" applyBorder="1"/>
    <xf numFmtId="4" fontId="7" fillId="17" borderId="0" xfId="84" applyNumberFormat="1" applyFont="1" applyFill="1" applyBorder="1" applyAlignment="1">
      <alignment horizontal="right"/>
    </xf>
    <xf numFmtId="4" fontId="27" fillId="17" borderId="0" xfId="88" applyNumberFormat="1" applyFont="1" applyFill="1" applyBorder="1" applyAlignment="1">
      <alignment horizontal="right"/>
    </xf>
    <xf numFmtId="4" fontId="26" fillId="17" borderId="0" xfId="88" applyNumberFormat="1" applyFont="1" applyFill="1"/>
    <xf numFmtId="2" fontId="26" fillId="18" borderId="23" xfId="88" applyNumberFormat="1" applyFont="1" applyFill="1" applyBorder="1"/>
    <xf numFmtId="0" fontId="8" fillId="17" borderId="0" xfId="0" applyFont="1" applyFill="1" applyBorder="1" applyAlignment="1">
      <alignment horizontal="center"/>
    </xf>
    <xf numFmtId="0" fontId="7" fillId="0" borderId="6" xfId="85" applyFont="1" applyFill="1" applyBorder="1" applyAlignment="1">
      <alignment horizontal="left"/>
    </xf>
    <xf numFmtId="2" fontId="8" fillId="0" borderId="7" xfId="87" applyNumberFormat="1" applyFont="1" applyFill="1" applyBorder="1" applyAlignment="1">
      <alignment horizontal="center"/>
    </xf>
    <xf numFmtId="0" fontId="8" fillId="0" borderId="7" xfId="85" applyFont="1" applyFill="1" applyBorder="1" applyAlignment="1">
      <alignment horizontal="center"/>
    </xf>
    <xf numFmtId="2" fontId="8" fillId="0" borderId="7" xfId="85" applyNumberFormat="1" applyFont="1" applyFill="1" applyBorder="1" applyAlignment="1">
      <alignment horizontal="right"/>
    </xf>
    <xf numFmtId="2" fontId="8" fillId="0" borderId="8" xfId="85" applyNumberFormat="1" applyFont="1" applyFill="1" applyBorder="1"/>
    <xf numFmtId="0" fontId="8" fillId="0" borderId="10" xfId="85" applyFont="1" applyFill="1" applyBorder="1" applyAlignment="1">
      <alignment horizontal="left"/>
    </xf>
    <xf numFmtId="2" fontId="8" fillId="0" borderId="11" xfId="87" applyNumberFormat="1" applyFont="1" applyFill="1" applyBorder="1" applyAlignment="1"/>
    <xf numFmtId="0" fontId="8" fillId="0" borderId="11" xfId="85" applyFont="1" applyFill="1" applyBorder="1" applyAlignment="1">
      <alignment horizontal="center"/>
    </xf>
    <xf numFmtId="2" fontId="8" fillId="0" borderId="11" xfId="85" applyNumberFormat="1" applyFont="1" applyFill="1" applyBorder="1" applyAlignment="1">
      <alignment horizontal="right"/>
    </xf>
    <xf numFmtId="4" fontId="8" fillId="0" borderId="9" xfId="85" applyNumberFormat="1" applyFont="1" applyFill="1" applyBorder="1"/>
    <xf numFmtId="0" fontId="7" fillId="0" borderId="10" xfId="85" applyFont="1" applyFill="1" applyBorder="1" applyAlignment="1">
      <alignment horizontal="left"/>
    </xf>
    <xf numFmtId="0" fontId="8" fillId="0" borderId="10" xfId="85" quotePrefix="1" applyFont="1" applyFill="1" applyBorder="1" applyAlignment="1">
      <alignment horizontal="left"/>
    </xf>
    <xf numFmtId="0" fontId="8" fillId="0" borderId="10" xfId="85" applyFont="1" applyFill="1" applyBorder="1"/>
    <xf numFmtId="0" fontId="8" fillId="0" borderId="11" xfId="87" applyFont="1" applyFill="1" applyBorder="1" applyAlignment="1"/>
    <xf numFmtId="39" fontId="8" fillId="0" borderId="11" xfId="85" applyNumberFormat="1" applyFont="1" applyFill="1" applyBorder="1" applyAlignment="1">
      <alignment horizontal="right"/>
    </xf>
    <xf numFmtId="4" fontId="8" fillId="0" borderId="11" xfId="85" applyNumberFormat="1" applyFont="1" applyFill="1" applyBorder="1" applyAlignment="1">
      <alignment horizontal="right"/>
    </xf>
    <xf numFmtId="2" fontId="8" fillId="0" borderId="11" xfId="87" applyNumberFormat="1" applyFont="1" applyFill="1" applyBorder="1" applyAlignment="1">
      <alignment horizontal="center"/>
    </xf>
    <xf numFmtId="2" fontId="8" fillId="0" borderId="9" xfId="85" applyNumberFormat="1" applyFont="1" applyFill="1" applyBorder="1"/>
    <xf numFmtId="0" fontId="7" fillId="0" borderId="14" xfId="85" applyFont="1" applyFill="1" applyBorder="1" applyAlignment="1">
      <alignment horizontal="left"/>
    </xf>
    <xf numFmtId="0" fontId="7" fillId="0" borderId="12" xfId="85" applyFont="1" applyFill="1" applyBorder="1" applyAlignment="1">
      <alignment horizontal="left"/>
    </xf>
    <xf numFmtId="0" fontId="7" fillId="0" borderId="12" xfId="88" applyFont="1" applyFill="1" applyBorder="1" applyAlignment="1">
      <alignment horizontal="right"/>
    </xf>
    <xf numFmtId="39" fontId="17" fillId="0" borderId="13" xfId="85" applyNumberFormat="1" applyFont="1" applyFill="1" applyBorder="1" applyAlignment="1"/>
    <xf numFmtId="4" fontId="8" fillId="0" borderId="11" xfId="87" applyNumberFormat="1" applyFont="1" applyFill="1" applyBorder="1" applyAlignment="1"/>
    <xf numFmtId="39" fontId="8" fillId="0" borderId="11" xfId="85" applyNumberFormat="1" applyFont="1" applyFill="1" applyBorder="1" applyAlignment="1">
      <alignment horizontal="right" vertical="distributed" wrapText="1"/>
    </xf>
    <xf numFmtId="4" fontId="7" fillId="17" borderId="0" xfId="0" applyNumberFormat="1" applyFont="1" applyFill="1" applyBorder="1"/>
    <xf numFmtId="0" fontId="18" fillId="17" borderId="0" xfId="0" applyFont="1" applyFill="1" applyBorder="1" applyAlignment="1">
      <alignment horizontal="right"/>
    </xf>
    <xf numFmtId="4" fontId="18" fillId="17" borderId="0" xfId="0" applyNumberFormat="1" applyFont="1" applyFill="1" applyBorder="1" applyAlignment="1">
      <alignment horizontal="right"/>
    </xf>
    <xf numFmtId="0" fontId="8" fillId="0" borderId="6" xfId="88" applyFont="1" applyFill="1" applyBorder="1"/>
    <xf numFmtId="0" fontId="8" fillId="0" borderId="7" xfId="88" applyFont="1" applyFill="1" applyBorder="1"/>
    <xf numFmtId="0" fontId="8" fillId="0" borderId="7" xfId="88" applyFont="1" applyFill="1" applyBorder="1" applyAlignment="1">
      <alignment horizontal="center"/>
    </xf>
    <xf numFmtId="39" fontId="8" fillId="0" borderId="7" xfId="88" applyNumberFormat="1" applyFont="1" applyFill="1" applyBorder="1"/>
    <xf numFmtId="0" fontId="8" fillId="0" borderId="10" xfId="88" applyFont="1" applyFill="1" applyBorder="1"/>
    <xf numFmtId="0" fontId="8" fillId="0" borderId="11" xfId="88" applyFont="1" applyFill="1" applyBorder="1"/>
    <xf numFmtId="0" fontId="8" fillId="0" borderId="11" xfId="88" applyFont="1" applyFill="1" applyBorder="1" applyAlignment="1">
      <alignment horizontal="center"/>
    </xf>
    <xf numFmtId="39" fontId="8" fillId="0" borderId="11" xfId="88" applyNumberFormat="1" applyFont="1" applyFill="1" applyBorder="1"/>
    <xf numFmtId="2" fontId="8" fillId="0" borderId="11" xfId="88" applyNumberFormat="1" applyFont="1" applyFill="1" applyBorder="1"/>
    <xf numFmtId="0" fontId="7" fillId="0" borderId="11" xfId="88" applyFont="1" applyFill="1" applyBorder="1" applyAlignment="1">
      <alignment horizontal="center"/>
    </xf>
    <xf numFmtId="0" fontId="7" fillId="0" borderId="11" xfId="88" applyFont="1" applyFill="1" applyBorder="1" applyAlignment="1">
      <alignment horizontal="right"/>
    </xf>
    <xf numFmtId="4" fontId="7" fillId="0" borderId="9" xfId="88" applyNumberFormat="1" applyFont="1" applyFill="1" applyBorder="1"/>
    <xf numFmtId="4" fontId="8" fillId="0" borderId="11" xfId="88" applyNumberFormat="1" applyFont="1" applyFill="1" applyBorder="1"/>
    <xf numFmtId="0" fontId="8" fillId="0" borderId="14" xfId="88" applyFont="1" applyFill="1" applyBorder="1"/>
    <xf numFmtId="0" fontId="8" fillId="0" borderId="12" xfId="88" applyFont="1" applyFill="1" applyBorder="1"/>
    <xf numFmtId="0" fontId="8" fillId="0" borderId="12" xfId="88" applyFont="1" applyFill="1" applyBorder="1" applyAlignment="1">
      <alignment horizontal="center"/>
    </xf>
    <xf numFmtId="4" fontId="7" fillId="0" borderId="13" xfId="88" applyNumberFormat="1" applyFont="1" applyFill="1" applyBorder="1"/>
    <xf numFmtId="0" fontId="7" fillId="17" borderId="0" xfId="0" applyFont="1" applyFill="1"/>
    <xf numFmtId="4" fontId="0" fillId="17" borderId="0" xfId="0" applyNumberFormat="1" applyFill="1"/>
    <xf numFmtId="0" fontId="0" fillId="17" borderId="0" xfId="0" applyFill="1" applyAlignment="1">
      <alignment horizontal="center"/>
    </xf>
    <xf numFmtId="4" fontId="0" fillId="17" borderId="11" xfId="0" applyNumberFormat="1" applyFill="1" applyBorder="1"/>
    <xf numFmtId="4" fontId="0" fillId="17" borderId="11" xfId="0" applyNumberFormat="1" applyFill="1" applyBorder="1" applyAlignment="1">
      <alignment horizontal="center"/>
    </xf>
    <xf numFmtId="4" fontId="7" fillId="17" borderId="11" xfId="84" applyNumberFormat="1" applyFont="1" applyFill="1" applyBorder="1" applyAlignment="1">
      <alignment horizontal="right"/>
    </xf>
    <xf numFmtId="4" fontId="13" fillId="17" borderId="9" xfId="88" applyNumberFormat="1" applyFont="1" applyFill="1" applyBorder="1"/>
    <xf numFmtId="0" fontId="8" fillId="0" borderId="29" xfId="0" applyFont="1" applyFill="1" applyBorder="1"/>
    <xf numFmtId="2" fontId="8" fillId="0" borderId="16" xfId="88" applyNumberFormat="1" applyFont="1" applyFill="1" applyBorder="1"/>
    <xf numFmtId="39" fontId="8" fillId="0" borderId="16" xfId="88" applyNumberFormat="1" applyFont="1" applyFill="1" applyBorder="1" applyAlignment="1">
      <alignment horizontal="center"/>
    </xf>
    <xf numFmtId="177" fontId="8" fillId="0" borderId="16" xfId="28" applyFont="1" applyFill="1" applyBorder="1"/>
    <xf numFmtId="0" fontId="8" fillId="0" borderId="30" xfId="0" applyFont="1" applyFill="1" applyBorder="1"/>
    <xf numFmtId="2" fontId="8" fillId="0" borderId="31" xfId="88" applyNumberFormat="1" applyFont="1" applyFill="1" applyBorder="1"/>
    <xf numFmtId="39" fontId="8" fillId="0" borderId="31" xfId="88" applyNumberFormat="1" applyFont="1" applyFill="1" applyBorder="1" applyAlignment="1">
      <alignment horizontal="center"/>
    </xf>
    <xf numFmtId="177" fontId="8" fillId="0" borderId="31" xfId="28" applyFont="1" applyFill="1" applyBorder="1"/>
    <xf numFmtId="0" fontId="8" fillId="0" borderId="32" xfId="0" applyFont="1" applyFill="1" applyBorder="1"/>
    <xf numFmtId="0" fontId="8" fillId="0" borderId="33" xfId="0" applyFont="1" applyFill="1" applyBorder="1"/>
    <xf numFmtId="2" fontId="8" fillId="0" borderId="34" xfId="88" applyNumberFormat="1" applyFont="1" applyFill="1" applyBorder="1"/>
    <xf numFmtId="39" fontId="8" fillId="0" borderId="34" xfId="88" applyNumberFormat="1" applyFont="1" applyFill="1" applyBorder="1" applyAlignment="1">
      <alignment horizontal="center"/>
    </xf>
    <xf numFmtId="177" fontId="8" fillId="0" borderId="34" xfId="28" applyFont="1" applyFill="1" applyBorder="1"/>
    <xf numFmtId="177" fontId="7" fillId="0" borderId="35" xfId="59" applyFont="1" applyFill="1" applyBorder="1"/>
    <xf numFmtId="0" fontId="29" fillId="17" borderId="29" xfId="0" applyFont="1" applyFill="1" applyBorder="1"/>
    <xf numFmtId="2" fontId="30" fillId="17" borderId="36" xfId="88" applyNumberFormat="1" applyFont="1" applyFill="1" applyBorder="1" applyAlignment="1">
      <alignment horizontal="right"/>
    </xf>
    <xf numFmtId="39" fontId="30" fillId="17" borderId="36" xfId="88" applyNumberFormat="1" applyFont="1" applyFill="1" applyBorder="1" applyAlignment="1">
      <alignment horizontal="right"/>
    </xf>
    <xf numFmtId="39" fontId="7" fillId="0" borderId="7" xfId="88" applyNumberFormat="1" applyFont="1" applyFill="1" applyBorder="1" applyAlignment="1">
      <alignment horizontal="right"/>
    </xf>
    <xf numFmtId="0" fontId="8" fillId="17" borderId="6" xfId="85" applyFont="1" applyFill="1" applyBorder="1"/>
    <xf numFmtId="0" fontId="8" fillId="17" borderId="7" xfId="85" applyFont="1" applyFill="1" applyBorder="1" applyAlignment="1">
      <alignment horizontal="center"/>
    </xf>
    <xf numFmtId="4" fontId="8" fillId="17" borderId="7" xfId="85" applyNumberFormat="1" applyFont="1" applyFill="1" applyBorder="1" applyAlignment="1">
      <alignment horizontal="right"/>
    </xf>
    <xf numFmtId="0" fontId="8" fillId="17" borderId="10" xfId="85" applyFont="1" applyFill="1" applyBorder="1"/>
    <xf numFmtId="0" fontId="8" fillId="17" borderId="11" xfId="85" applyFont="1" applyFill="1" applyBorder="1" applyAlignment="1">
      <alignment horizontal="center"/>
    </xf>
    <xf numFmtId="4" fontId="8" fillId="17" borderId="11" xfId="85" applyNumberFormat="1" applyFont="1" applyFill="1" applyBorder="1" applyAlignment="1">
      <alignment horizontal="right"/>
    </xf>
    <xf numFmtId="4" fontId="8" fillId="17" borderId="9" xfId="85" applyNumberFormat="1" applyFont="1" applyFill="1" applyBorder="1"/>
    <xf numFmtId="0" fontId="8" fillId="17" borderId="10" xfId="85" quotePrefix="1" applyFont="1" applyFill="1" applyBorder="1" applyAlignment="1">
      <alignment horizontal="left"/>
    </xf>
    <xf numFmtId="0" fontId="7" fillId="19" borderId="10" xfId="85" applyFont="1" applyFill="1" applyBorder="1"/>
    <xf numFmtId="0" fontId="7" fillId="17" borderId="14" xfId="85" applyFont="1" applyFill="1" applyBorder="1" applyAlignment="1">
      <alignment horizontal="left"/>
    </xf>
    <xf numFmtId="0" fontId="7" fillId="17" borderId="12" xfId="85" applyFont="1" applyFill="1" applyBorder="1" applyAlignment="1">
      <alignment horizontal="left"/>
    </xf>
    <xf numFmtId="4" fontId="7" fillId="17" borderId="13" xfId="85" applyNumberFormat="1" applyFont="1" applyFill="1" applyBorder="1" applyAlignment="1"/>
    <xf numFmtId="2" fontId="8" fillId="17" borderId="7" xfId="85" applyNumberFormat="1" applyFont="1" applyFill="1" applyBorder="1" applyAlignment="1"/>
    <xf numFmtId="2" fontId="8" fillId="17" borderId="11" xfId="85" applyNumberFormat="1" applyFont="1" applyFill="1" applyBorder="1" applyAlignment="1"/>
    <xf numFmtId="177" fontId="10" fillId="17" borderId="0" xfId="63" applyFont="1" applyFill="1" applyBorder="1" applyAlignment="1">
      <alignment horizontal="right" vertical="center"/>
    </xf>
    <xf numFmtId="0" fontId="10" fillId="17" borderId="0" xfId="91" applyFont="1" applyFill="1" applyBorder="1" applyAlignment="1">
      <alignment horizontal="center" vertical="center"/>
    </xf>
    <xf numFmtId="177" fontId="10" fillId="17" borderId="7" xfId="63" applyFont="1" applyFill="1" applyBorder="1"/>
    <xf numFmtId="177" fontId="10" fillId="17" borderId="11" xfId="63" applyFont="1" applyFill="1" applyBorder="1"/>
    <xf numFmtId="177" fontId="10" fillId="17" borderId="12" xfId="63" applyFont="1" applyFill="1" applyBorder="1"/>
    <xf numFmtId="177" fontId="13" fillId="17" borderId="12" xfId="63" applyFont="1" applyFill="1" applyBorder="1" applyAlignment="1">
      <alignment horizontal="right"/>
    </xf>
    <xf numFmtId="177" fontId="13" fillId="17" borderId="13" xfId="63" applyFont="1" applyFill="1" applyBorder="1" applyAlignment="1">
      <alignment horizontal="right"/>
    </xf>
    <xf numFmtId="0" fontId="10" fillId="17" borderId="0" xfId="88" applyFont="1" applyFill="1" applyBorder="1" applyAlignment="1">
      <alignment horizontal="right"/>
    </xf>
    <xf numFmtId="177" fontId="10" fillId="17" borderId="0" xfId="63" applyFont="1" applyFill="1" applyBorder="1"/>
    <xf numFmtId="0" fontId="10" fillId="17" borderId="0" xfId="88" applyFont="1" applyFill="1" applyBorder="1" applyAlignment="1">
      <alignment horizontal="center"/>
    </xf>
    <xf numFmtId="174" fontId="10" fillId="17" borderId="0" xfId="63" applyNumberFormat="1" applyFont="1" applyFill="1" applyBorder="1"/>
    <xf numFmtId="181" fontId="3" fillId="17" borderId="0" xfId="88" applyNumberFormat="1" applyFont="1" applyFill="1"/>
    <xf numFmtId="177" fontId="17" fillId="17" borderId="0" xfId="63" applyFont="1" applyFill="1" applyBorder="1"/>
    <xf numFmtId="172" fontId="3" fillId="17" borderId="0" xfId="88" applyNumberFormat="1" applyFont="1" applyFill="1"/>
    <xf numFmtId="0" fontId="8" fillId="17" borderId="6" xfId="0" applyFont="1" applyFill="1" applyBorder="1"/>
    <xf numFmtId="2" fontId="8" fillId="17" borderId="7" xfId="0" applyNumberFormat="1" applyFont="1" applyFill="1" applyBorder="1" applyAlignment="1"/>
    <xf numFmtId="4" fontId="8" fillId="17" borderId="7" xfId="0" applyNumberFormat="1" applyFont="1" applyFill="1" applyBorder="1" applyAlignment="1">
      <alignment horizontal="right"/>
    </xf>
    <xf numFmtId="0" fontId="26" fillId="17" borderId="10" xfId="85" quotePrefix="1" applyFont="1" applyFill="1" applyBorder="1" applyAlignment="1">
      <alignment horizontal="left"/>
    </xf>
    <xf numFmtId="0" fontId="26" fillId="17" borderId="10" xfId="85" applyFont="1" applyFill="1" applyBorder="1"/>
    <xf numFmtId="0" fontId="27" fillId="17" borderId="10" xfId="85" applyFont="1" applyFill="1" applyBorder="1" applyAlignment="1">
      <alignment horizontal="left"/>
    </xf>
    <xf numFmtId="4" fontId="28" fillId="17" borderId="9" xfId="85" applyNumberFormat="1" applyFont="1" applyFill="1" applyBorder="1" applyAlignment="1"/>
    <xf numFmtId="0" fontId="27" fillId="17" borderId="14" xfId="85" applyFont="1" applyFill="1" applyBorder="1" applyAlignment="1">
      <alignment horizontal="left"/>
    </xf>
    <xf numFmtId="0" fontId="27" fillId="17" borderId="12" xfId="85" applyFont="1" applyFill="1" applyBorder="1"/>
    <xf numFmtId="0" fontId="27" fillId="17" borderId="12" xfId="85" applyFont="1" applyFill="1" applyBorder="1" applyAlignment="1">
      <alignment horizontal="center"/>
    </xf>
    <xf numFmtId="4" fontId="27" fillId="17" borderId="13" xfId="85" applyNumberFormat="1" applyFont="1" applyFill="1" applyBorder="1" applyAlignment="1"/>
    <xf numFmtId="4" fontId="3" fillId="17" borderId="11" xfId="88" applyNumberFormat="1" applyFont="1" applyFill="1" applyBorder="1"/>
    <xf numFmtId="0" fontId="3" fillId="17" borderId="11" xfId="88" applyFont="1" applyFill="1" applyBorder="1"/>
    <xf numFmtId="4" fontId="9" fillId="17" borderId="9" xfId="88" applyNumberFormat="1" applyFont="1" applyFill="1" applyBorder="1"/>
    <xf numFmtId="4" fontId="3" fillId="17" borderId="12" xfId="88" applyNumberFormat="1" applyFont="1" applyFill="1" applyBorder="1"/>
    <xf numFmtId="0" fontId="3" fillId="17" borderId="12" xfId="88" applyFont="1" applyFill="1" applyBorder="1"/>
    <xf numFmtId="2" fontId="26" fillId="20" borderId="11" xfId="85" applyNumberFormat="1" applyFont="1" applyFill="1" applyBorder="1" applyAlignment="1">
      <alignment horizontal="right"/>
    </xf>
    <xf numFmtId="0" fontId="0" fillId="17" borderId="6" xfId="0" applyFill="1" applyBorder="1"/>
    <xf numFmtId="4" fontId="0" fillId="17" borderId="7" xfId="0" applyNumberFormat="1" applyFill="1" applyBorder="1"/>
    <xf numFmtId="4" fontId="0" fillId="17" borderId="7" xfId="0" applyNumberFormat="1" applyFill="1" applyBorder="1" applyAlignment="1">
      <alignment horizontal="center"/>
    </xf>
    <xf numFmtId="0" fontId="0" fillId="17" borderId="10" xfId="0" applyFill="1" applyBorder="1"/>
    <xf numFmtId="4" fontId="7" fillId="17" borderId="9" xfId="0" applyNumberFormat="1" applyFont="1" applyFill="1" applyBorder="1"/>
    <xf numFmtId="0" fontId="0" fillId="17" borderId="14" xfId="0" applyFill="1" applyBorder="1"/>
    <xf numFmtId="4" fontId="0" fillId="17" borderId="12" xfId="0" applyNumberFormat="1" applyFill="1" applyBorder="1"/>
    <xf numFmtId="4" fontId="7" fillId="17" borderId="13" xfId="0" applyNumberFormat="1" applyFont="1" applyFill="1" applyBorder="1"/>
    <xf numFmtId="2" fontId="13" fillId="17" borderId="37" xfId="0" applyNumberFormat="1" applyFont="1" applyFill="1" applyBorder="1" applyAlignment="1" applyProtection="1">
      <alignment horizontal="right" vertical="center"/>
    </xf>
    <xf numFmtId="4" fontId="13" fillId="17" borderId="37" xfId="0" applyNumberFormat="1" applyFont="1" applyFill="1" applyBorder="1" applyAlignment="1" applyProtection="1">
      <alignment horizontal="right" vertical="center"/>
    </xf>
    <xf numFmtId="0" fontId="10" fillId="17" borderId="34" xfId="88" applyFont="1" applyFill="1" applyBorder="1" applyAlignment="1">
      <alignment horizontal="center"/>
    </xf>
    <xf numFmtId="0" fontId="10" fillId="0" borderId="7" xfId="88" applyFont="1" applyFill="1" applyBorder="1" applyAlignment="1">
      <alignment horizontal="center"/>
    </xf>
    <xf numFmtId="0" fontId="34" fillId="21" borderId="0" xfId="88" applyFont="1" applyFill="1" applyBorder="1" applyAlignment="1">
      <alignment horizontal="center" vertical="top" wrapText="1"/>
    </xf>
    <xf numFmtId="0" fontId="34" fillId="21" borderId="5" xfId="88" applyFont="1" applyFill="1" applyBorder="1" applyAlignment="1">
      <alignment vertical="top" wrapText="1"/>
    </xf>
    <xf numFmtId="0" fontId="34" fillId="21" borderId="39" xfId="88" applyFont="1" applyFill="1" applyBorder="1" applyAlignment="1">
      <alignment vertical="top" wrapText="1"/>
    </xf>
    <xf numFmtId="0" fontId="7" fillId="21" borderId="30" xfId="88" applyFont="1" applyFill="1" applyBorder="1" applyAlignment="1">
      <alignment vertical="top" wrapText="1"/>
    </xf>
    <xf numFmtId="0" fontId="7" fillId="21" borderId="40" xfId="88" applyFont="1" applyFill="1" applyBorder="1" applyAlignment="1">
      <alignment vertical="top" wrapText="1"/>
    </xf>
    <xf numFmtId="0" fontId="7" fillId="21" borderId="0" xfId="88" applyFont="1" applyFill="1" applyBorder="1" applyAlignment="1">
      <alignment horizontal="right" vertical="top" wrapText="1"/>
    </xf>
    <xf numFmtId="0" fontId="7" fillId="21" borderId="5" xfId="88" applyFont="1" applyFill="1" applyBorder="1" applyAlignment="1">
      <alignment horizontal="right" vertical="top" wrapText="1"/>
    </xf>
    <xf numFmtId="4" fontId="10" fillId="17" borderId="21" xfId="29" applyNumberFormat="1" applyFont="1" applyFill="1" applyBorder="1"/>
    <xf numFmtId="4" fontId="10" fillId="17" borderId="9" xfId="29" applyNumberFormat="1" applyFont="1" applyFill="1" applyBorder="1"/>
    <xf numFmtId="0" fontId="8" fillId="0" borderId="6" xfId="0" applyFont="1" applyFill="1" applyBorder="1"/>
    <xf numFmtId="2" fontId="8" fillId="0" borderId="7" xfId="88" applyNumberFormat="1" applyFont="1" applyFill="1" applyBorder="1"/>
    <xf numFmtId="39" fontId="8" fillId="0" borderId="7" xfId="88" applyNumberFormat="1" applyFont="1" applyFill="1" applyBorder="1" applyAlignment="1">
      <alignment horizontal="center"/>
    </xf>
    <xf numFmtId="177" fontId="8" fillId="0" borderId="7" xfId="28" applyFont="1" applyFill="1" applyBorder="1"/>
    <xf numFmtId="0" fontId="8" fillId="0" borderId="10" xfId="0" applyFont="1" applyFill="1" applyBorder="1"/>
    <xf numFmtId="39" fontId="8" fillId="0" borderId="11" xfId="88" applyNumberFormat="1" applyFont="1" applyFill="1" applyBorder="1" applyAlignment="1">
      <alignment horizontal="center"/>
    </xf>
    <xf numFmtId="177" fontId="8" fillId="0" borderId="11" xfId="28" applyFont="1" applyFill="1" applyBorder="1"/>
    <xf numFmtId="0" fontId="8" fillId="0" borderId="14" xfId="0" applyFont="1" applyFill="1" applyBorder="1"/>
    <xf numFmtId="2" fontId="8" fillId="0" borderId="12" xfId="88" applyNumberFormat="1" applyFont="1" applyFill="1" applyBorder="1"/>
    <xf numFmtId="39" fontId="8" fillId="0" borderId="12" xfId="88" applyNumberFormat="1" applyFont="1" applyFill="1" applyBorder="1" applyAlignment="1">
      <alignment horizontal="center"/>
    </xf>
    <xf numFmtId="177" fontId="8" fillId="0" borderId="12" xfId="28" applyFont="1" applyFill="1" applyBorder="1"/>
    <xf numFmtId="4" fontId="10" fillId="17" borderId="13" xfId="29" applyNumberFormat="1" applyFont="1" applyFill="1" applyBorder="1"/>
    <xf numFmtId="0" fontId="7" fillId="22" borderId="0" xfId="0" applyFont="1" applyFill="1" applyAlignment="1">
      <alignment vertical="top"/>
    </xf>
    <xf numFmtId="0" fontId="34" fillId="21" borderId="38" xfId="88" applyFont="1" applyFill="1" applyBorder="1" applyAlignment="1">
      <alignment horizontal="left" vertical="top" wrapText="1"/>
    </xf>
    <xf numFmtId="4" fontId="10" fillId="17" borderId="0" xfId="88" applyNumberFormat="1" applyFont="1" applyFill="1" applyAlignment="1">
      <alignment vertical="top"/>
    </xf>
    <xf numFmtId="4" fontId="10" fillId="17" borderId="36" xfId="29" applyNumberFormat="1" applyFont="1" applyFill="1" applyBorder="1"/>
    <xf numFmtId="2" fontId="10" fillId="17" borderId="0" xfId="88" applyNumberFormat="1" applyFont="1" applyFill="1" applyAlignment="1">
      <alignment vertical="top"/>
    </xf>
    <xf numFmtId="4" fontId="3" fillId="17" borderId="0" xfId="88" applyNumberFormat="1" applyFont="1" applyFill="1" applyAlignment="1">
      <alignment vertical="top"/>
    </xf>
    <xf numFmtId="0" fontId="10" fillId="17" borderId="11" xfId="88" applyFont="1" applyFill="1" applyBorder="1" applyAlignment="1">
      <alignment horizontal="center" vertical="top"/>
    </xf>
    <xf numFmtId="0" fontId="13" fillId="17" borderId="0" xfId="88" applyFont="1" applyFill="1" applyAlignment="1">
      <alignment vertical="top"/>
    </xf>
    <xf numFmtId="0" fontId="10" fillId="17" borderId="10" xfId="88" applyFont="1" applyFill="1" applyBorder="1" applyAlignment="1">
      <alignment vertical="top"/>
    </xf>
    <xf numFmtId="4" fontId="10" fillId="17" borderId="11" xfId="88" applyNumberFormat="1" applyFont="1" applyFill="1" applyBorder="1" applyAlignment="1">
      <alignment vertical="top"/>
    </xf>
    <xf numFmtId="0" fontId="10" fillId="17" borderId="14" xfId="88" applyFont="1" applyFill="1" applyBorder="1" applyAlignment="1">
      <alignment vertical="top"/>
    </xf>
    <xf numFmtId="4" fontId="10" fillId="17" borderId="12" xfId="88" applyNumberFormat="1" applyFont="1" applyFill="1" applyBorder="1" applyAlignment="1">
      <alignment vertical="top"/>
    </xf>
    <xf numFmtId="2" fontId="10" fillId="17" borderId="0" xfId="88" applyNumberFormat="1" applyFont="1" applyFill="1"/>
    <xf numFmtId="4" fontId="13" fillId="17" borderId="12" xfId="88" applyNumberFormat="1" applyFont="1" applyFill="1" applyBorder="1" applyAlignment="1">
      <alignment horizontal="right" vertical="top"/>
    </xf>
    <xf numFmtId="0" fontId="8" fillId="22" borderId="0" xfId="0" applyFont="1" applyFill="1" applyAlignment="1">
      <alignment horizontal="center" vertical="top"/>
    </xf>
    <xf numFmtId="0" fontId="13" fillId="23" borderId="0" xfId="88" applyFont="1" applyFill="1" applyAlignment="1">
      <alignment vertical="top"/>
    </xf>
    <xf numFmtId="0" fontId="10" fillId="0" borderId="0" xfId="88" applyFont="1" applyFill="1"/>
    <xf numFmtId="4" fontId="10" fillId="22" borderId="0" xfId="88" applyNumberFormat="1" applyFont="1" applyFill="1"/>
    <xf numFmtId="0" fontId="10" fillId="22" borderId="0" xfId="88" applyFont="1" applyFill="1"/>
    <xf numFmtId="0" fontId="10" fillId="22" borderId="0" xfId="88" applyFont="1" applyFill="1" applyAlignment="1">
      <alignment vertical="top"/>
    </xf>
    <xf numFmtId="0" fontId="10" fillId="22" borderId="0" xfId="88" applyFont="1" applyFill="1" applyAlignment="1">
      <alignment horizontal="center" vertical="top"/>
    </xf>
    <xf numFmtId="4" fontId="10" fillId="23" borderId="0" xfId="88" applyNumberFormat="1" applyFont="1" applyFill="1" applyAlignment="1">
      <alignment vertical="top"/>
    </xf>
    <xf numFmtId="0" fontId="10" fillId="23" borderId="0" xfId="88" applyFont="1" applyFill="1" applyAlignment="1">
      <alignment vertical="top"/>
    </xf>
    <xf numFmtId="0" fontId="10" fillId="23" borderId="10" xfId="88" applyFont="1" applyFill="1" applyBorder="1" applyAlignment="1">
      <alignment vertical="top"/>
    </xf>
    <xf numFmtId="4" fontId="10" fillId="23" borderId="11" xfId="88" applyNumberFormat="1" applyFont="1" applyFill="1" applyBorder="1" applyAlignment="1">
      <alignment vertical="top"/>
    </xf>
    <xf numFmtId="0" fontId="10" fillId="23" borderId="11" xfId="88" applyFont="1" applyFill="1" applyBorder="1" applyAlignment="1">
      <alignment vertical="top"/>
    </xf>
    <xf numFmtId="4" fontId="10" fillId="23" borderId="9" xfId="29" applyNumberFormat="1" applyFont="1" applyFill="1" applyBorder="1" applyAlignment="1">
      <alignment vertical="top"/>
    </xf>
    <xf numFmtId="0" fontId="10" fillId="23" borderId="11" xfId="88" applyFont="1" applyFill="1" applyBorder="1" applyAlignment="1">
      <alignment horizontal="center" vertical="top"/>
    </xf>
    <xf numFmtId="0" fontId="10" fillId="23" borderId="14" xfId="88" applyFont="1" applyFill="1" applyBorder="1" applyAlignment="1">
      <alignment vertical="top"/>
    </xf>
    <xf numFmtId="4" fontId="10" fillId="23" borderId="12" xfId="88" applyNumberFormat="1" applyFont="1" applyFill="1" applyBorder="1" applyAlignment="1">
      <alignment vertical="top"/>
    </xf>
    <xf numFmtId="0" fontId="10" fillId="23" borderId="12" xfId="88" applyFont="1" applyFill="1" applyBorder="1" applyAlignment="1">
      <alignment vertical="top"/>
    </xf>
    <xf numFmtId="4" fontId="13" fillId="23" borderId="12" xfId="88" applyNumberFormat="1" applyFont="1" applyFill="1" applyBorder="1" applyAlignment="1">
      <alignment horizontal="right" vertical="top"/>
    </xf>
    <xf numFmtId="4" fontId="13" fillId="23" borderId="13" xfId="29" applyNumberFormat="1" applyFont="1" applyFill="1" applyBorder="1" applyAlignment="1">
      <alignment vertical="top"/>
    </xf>
    <xf numFmtId="0" fontId="10" fillId="17" borderId="0" xfId="88" applyFont="1" applyFill="1" applyAlignment="1"/>
    <xf numFmtId="4" fontId="10" fillId="17" borderId="7" xfId="88" applyNumberFormat="1" applyFont="1" applyFill="1" applyBorder="1" applyAlignment="1">
      <alignment vertical="top"/>
    </xf>
    <xf numFmtId="0" fontId="13" fillId="23" borderId="0" xfId="88" applyFont="1" applyFill="1"/>
    <xf numFmtId="4" fontId="10" fillId="23" borderId="0" xfId="88" applyNumberFormat="1" applyFont="1" applyFill="1"/>
    <xf numFmtId="0" fontId="10" fillId="23" borderId="0" xfId="88" applyFont="1" applyFill="1"/>
    <xf numFmtId="0" fontId="26" fillId="23" borderId="6" xfId="88" applyFont="1" applyFill="1" applyBorder="1"/>
    <xf numFmtId="0" fontId="26" fillId="23" borderId="7" xfId="88" applyFont="1" applyFill="1" applyBorder="1"/>
    <xf numFmtId="0" fontId="26" fillId="23" borderId="7" xfId="88" applyFont="1" applyFill="1" applyBorder="1" applyAlignment="1">
      <alignment horizontal="centerContinuous"/>
    </xf>
    <xf numFmtId="4" fontId="26" fillId="23" borderId="7" xfId="88" applyNumberFormat="1" applyFont="1" applyFill="1" applyBorder="1"/>
    <xf numFmtId="0" fontId="26" fillId="23" borderId="10" xfId="88" applyFont="1" applyFill="1" applyBorder="1"/>
    <xf numFmtId="2" fontId="26" fillId="23" borderId="11" xfId="88" applyNumberFormat="1" applyFont="1" applyFill="1" applyBorder="1"/>
    <xf numFmtId="0" fontId="26" fillId="23" borderId="11" xfId="88" applyFont="1" applyFill="1" applyBorder="1" applyAlignment="1">
      <alignment horizontal="centerContinuous"/>
    </xf>
    <xf numFmtId="4" fontId="26" fillId="23" borderId="11" xfId="88" applyNumberFormat="1" applyFont="1" applyFill="1" applyBorder="1"/>
    <xf numFmtId="4" fontId="10" fillId="23" borderId="9" xfId="29" applyNumberFormat="1" applyFont="1" applyFill="1" applyBorder="1"/>
    <xf numFmtId="0" fontId="26" fillId="23" borderId="22" xfId="88" applyFont="1" applyFill="1" applyBorder="1"/>
    <xf numFmtId="2" fontId="26" fillId="23" borderId="23" xfId="88" applyNumberFormat="1" applyFont="1" applyFill="1" applyBorder="1"/>
    <xf numFmtId="0" fontId="26" fillId="23" borderId="23" xfId="88" applyFont="1" applyFill="1" applyBorder="1" applyAlignment="1">
      <alignment horizontal="centerContinuous"/>
    </xf>
    <xf numFmtId="4" fontId="26" fillId="23" borderId="23" xfId="88" applyNumberFormat="1" applyFont="1" applyFill="1" applyBorder="1"/>
    <xf numFmtId="0" fontId="26" fillId="23" borderId="14" xfId="88" applyFont="1" applyFill="1" applyBorder="1"/>
    <xf numFmtId="0" fontId="26" fillId="23" borderId="12" xfId="88" applyFont="1" applyFill="1" applyBorder="1"/>
    <xf numFmtId="4" fontId="7" fillId="23" borderId="12" xfId="84" applyNumberFormat="1" applyFont="1" applyFill="1" applyBorder="1" applyAlignment="1">
      <alignment horizontal="right"/>
    </xf>
    <xf numFmtId="4" fontId="27" fillId="23" borderId="13" xfId="88" applyNumberFormat="1" applyFont="1" applyFill="1" applyBorder="1" applyAlignment="1">
      <alignment horizontal="right"/>
    </xf>
    <xf numFmtId="0" fontId="7" fillId="23" borderId="5" xfId="0" applyFont="1" applyFill="1" applyBorder="1" applyAlignment="1">
      <alignment vertical="top"/>
    </xf>
    <xf numFmtId="4" fontId="26" fillId="23" borderId="0" xfId="88" applyNumberFormat="1" applyFont="1" applyFill="1"/>
    <xf numFmtId="0" fontId="25" fillId="23" borderId="0" xfId="88" applyFont="1" applyFill="1"/>
    <xf numFmtId="4" fontId="25" fillId="23" borderId="0" xfId="88" applyNumberFormat="1" applyFont="1" applyFill="1"/>
    <xf numFmtId="0" fontId="27" fillId="23" borderId="0" xfId="88" applyFont="1" applyFill="1" applyBorder="1"/>
    <xf numFmtId="0" fontId="26" fillId="23" borderId="6" xfId="88" applyFont="1" applyFill="1" applyBorder="1" applyAlignment="1">
      <alignment vertical="top"/>
    </xf>
    <xf numFmtId="0" fontId="26" fillId="23" borderId="7" xfId="88" applyFont="1" applyFill="1" applyBorder="1" applyAlignment="1">
      <alignment vertical="top"/>
    </xf>
    <xf numFmtId="0" fontId="26" fillId="23" borderId="7" xfId="88" applyFont="1" applyFill="1" applyBorder="1" applyAlignment="1">
      <alignment horizontal="center" vertical="top"/>
    </xf>
    <xf numFmtId="4" fontId="26" fillId="23" borderId="7" xfId="88" applyNumberFormat="1" applyFont="1" applyFill="1" applyBorder="1" applyAlignment="1">
      <alignment vertical="top"/>
    </xf>
    <xf numFmtId="0" fontId="26" fillId="23" borderId="10" xfId="88" applyFont="1" applyFill="1" applyBorder="1" applyAlignment="1">
      <alignment vertical="top"/>
    </xf>
    <xf numFmtId="2" fontId="26" fillId="23" borderId="11" xfId="88" applyNumberFormat="1" applyFont="1" applyFill="1" applyBorder="1" applyAlignment="1">
      <alignment vertical="top"/>
    </xf>
    <xf numFmtId="0" fontId="26" fillId="23" borderId="11" xfId="88" applyFont="1" applyFill="1" applyBorder="1" applyAlignment="1">
      <alignment horizontal="center" vertical="top"/>
    </xf>
    <xf numFmtId="4" fontId="26" fillId="23" borderId="11" xfId="88" applyNumberFormat="1" applyFont="1" applyFill="1" applyBorder="1" applyAlignment="1">
      <alignment vertical="top"/>
    </xf>
    <xf numFmtId="0" fontId="26" fillId="23" borderId="22" xfId="88" applyFont="1" applyFill="1" applyBorder="1" applyAlignment="1">
      <alignment vertical="top"/>
    </xf>
    <xf numFmtId="2" fontId="26" fillId="23" borderId="23" xfId="88" applyNumberFormat="1" applyFont="1" applyFill="1" applyBorder="1" applyAlignment="1">
      <alignment vertical="top"/>
    </xf>
    <xf numFmtId="0" fontId="26" fillId="23" borderId="23" xfId="88" applyFont="1" applyFill="1" applyBorder="1" applyAlignment="1">
      <alignment horizontal="center" vertical="top"/>
    </xf>
    <xf numFmtId="4" fontId="26" fillId="23" borderId="23" xfId="88" applyNumberFormat="1" applyFont="1" applyFill="1" applyBorder="1" applyAlignment="1">
      <alignment vertical="top"/>
    </xf>
    <xf numFmtId="0" fontId="26" fillId="23" borderId="14" xfId="88" applyFont="1" applyFill="1" applyBorder="1" applyAlignment="1">
      <alignment vertical="top"/>
    </xf>
    <xf numFmtId="0" fontId="26" fillId="23" borderId="12" xfId="88" applyFont="1" applyFill="1" applyBorder="1" applyAlignment="1">
      <alignment vertical="top"/>
    </xf>
    <xf numFmtId="4" fontId="7" fillId="23" borderId="12" xfId="84" applyNumberFormat="1" applyFont="1" applyFill="1" applyBorder="1" applyAlignment="1">
      <alignment horizontal="right" vertical="top"/>
    </xf>
    <xf numFmtId="4" fontId="27" fillId="23" borderId="13" xfId="88" applyNumberFormat="1" applyFont="1" applyFill="1" applyBorder="1" applyAlignment="1">
      <alignment horizontal="right" vertical="top"/>
    </xf>
    <xf numFmtId="0" fontId="10" fillId="23" borderId="26" xfId="88" applyFont="1" applyFill="1" applyBorder="1" applyAlignment="1">
      <alignment vertical="top"/>
    </xf>
    <xf numFmtId="4" fontId="10" fillId="23" borderId="27" xfId="88" applyNumberFormat="1" applyFont="1" applyFill="1" applyBorder="1" applyAlignment="1">
      <alignment vertical="top"/>
    </xf>
    <xf numFmtId="0" fontId="10" fillId="23" borderId="27" xfId="88" applyFont="1" applyFill="1" applyBorder="1" applyAlignment="1">
      <alignment horizontal="center" vertical="top"/>
    </xf>
    <xf numFmtId="4" fontId="62" fillId="23" borderId="28" xfId="29" applyNumberFormat="1" applyFont="1" applyFill="1" applyBorder="1" applyAlignment="1">
      <alignment vertical="top"/>
    </xf>
    <xf numFmtId="2" fontId="10" fillId="23" borderId="6" xfId="88" applyNumberFormat="1" applyFont="1" applyFill="1" applyBorder="1" applyAlignment="1">
      <alignment vertical="top"/>
    </xf>
    <xf numFmtId="4" fontId="10" fillId="23" borderId="7" xfId="88" applyNumberFormat="1" applyFont="1" applyFill="1" applyBorder="1" applyAlignment="1">
      <alignment vertical="top"/>
    </xf>
    <xf numFmtId="2" fontId="10" fillId="23" borderId="7" xfId="88" applyNumberFormat="1" applyFont="1" applyFill="1" applyBorder="1" applyAlignment="1">
      <alignment horizontal="center" vertical="top"/>
    </xf>
    <xf numFmtId="4" fontId="10" fillId="23" borderId="8" xfId="29" applyNumberFormat="1" applyFont="1" applyFill="1" applyBorder="1"/>
    <xf numFmtId="2" fontId="10" fillId="23" borderId="10" xfId="88" applyNumberFormat="1" applyFont="1" applyFill="1" applyBorder="1" applyAlignment="1">
      <alignment vertical="top"/>
    </xf>
    <xf numFmtId="2" fontId="10" fillId="23" borderId="11" xfId="88" applyNumberFormat="1" applyFont="1" applyFill="1" applyBorder="1" applyAlignment="1">
      <alignment horizontal="center" vertical="top"/>
    </xf>
    <xf numFmtId="2" fontId="10" fillId="23" borderId="10" xfId="88" applyNumberFormat="1" applyFont="1" applyFill="1" applyBorder="1" applyAlignment="1">
      <alignment vertical="top" wrapText="1"/>
    </xf>
    <xf numFmtId="4" fontId="10" fillId="23" borderId="11" xfId="88" applyNumberFormat="1" applyFont="1" applyFill="1" applyBorder="1" applyAlignment="1"/>
    <xf numFmtId="2" fontId="10" fillId="23" borderId="11" xfId="88" applyNumberFormat="1" applyFont="1" applyFill="1" applyBorder="1" applyAlignment="1">
      <alignment horizontal="center"/>
    </xf>
    <xf numFmtId="4" fontId="10" fillId="22" borderId="0" xfId="88" applyNumberFormat="1" applyFont="1" applyFill="1" applyAlignment="1">
      <alignment vertical="top"/>
    </xf>
    <xf numFmtId="0" fontId="25" fillId="22" borderId="0" xfId="88" applyFont="1" applyFill="1"/>
    <xf numFmtId="4" fontId="25" fillId="22" borderId="0" xfId="88" applyNumberFormat="1" applyFont="1" applyFill="1"/>
    <xf numFmtId="0" fontId="26" fillId="22" borderId="14" xfId="88" applyFont="1" applyFill="1" applyBorder="1"/>
    <xf numFmtId="0" fontId="26" fillId="22" borderId="12" xfId="88" applyFont="1" applyFill="1" applyBorder="1"/>
    <xf numFmtId="4" fontId="7" fillId="22" borderId="12" xfId="84" applyNumberFormat="1" applyFont="1" applyFill="1" applyBorder="1" applyAlignment="1">
      <alignment horizontal="right"/>
    </xf>
    <xf numFmtId="4" fontId="27" fillId="22" borderId="13" xfId="88" applyNumberFormat="1" applyFont="1" applyFill="1" applyBorder="1" applyAlignment="1">
      <alignment horizontal="right"/>
    </xf>
    <xf numFmtId="0" fontId="10" fillId="17" borderId="6" xfId="88" applyFont="1" applyFill="1" applyBorder="1" applyAlignment="1">
      <alignment vertical="top"/>
    </xf>
    <xf numFmtId="0" fontId="10" fillId="22" borderId="7" xfId="88" applyFont="1" applyFill="1" applyBorder="1" applyAlignment="1">
      <alignment horizontal="center" vertical="top"/>
    </xf>
    <xf numFmtId="0" fontId="10" fillId="22" borderId="11" xfId="88" applyFont="1" applyFill="1" applyBorder="1" applyAlignment="1">
      <alignment horizontal="center" vertical="top"/>
    </xf>
    <xf numFmtId="0" fontId="10" fillId="22" borderId="12" xfId="88" applyFont="1" applyFill="1" applyBorder="1" applyAlignment="1">
      <alignment vertical="top"/>
    </xf>
    <xf numFmtId="4" fontId="62" fillId="17" borderId="13" xfId="88" applyNumberFormat="1" applyFont="1" applyFill="1" applyBorder="1" applyAlignment="1">
      <alignment vertical="top"/>
    </xf>
    <xf numFmtId="4" fontId="63" fillId="17" borderId="13" xfId="88" applyNumberFormat="1" applyFont="1" applyFill="1" applyBorder="1" applyAlignment="1">
      <alignment vertical="top"/>
    </xf>
    <xf numFmtId="170" fontId="3" fillId="17" borderId="0" xfId="88" applyNumberFormat="1" applyFont="1" applyFill="1"/>
    <xf numFmtId="4" fontId="10" fillId="22" borderId="9" xfId="29" applyNumberFormat="1" applyFont="1" applyFill="1" applyBorder="1" applyAlignment="1">
      <alignment vertical="top"/>
    </xf>
    <xf numFmtId="0" fontId="10" fillId="22" borderId="36" xfId="88" applyFont="1" applyFill="1" applyBorder="1" applyAlignment="1">
      <alignment vertical="top"/>
    </xf>
    <xf numFmtId="4" fontId="10" fillId="22" borderId="36" xfId="88" applyNumberFormat="1" applyFont="1" applyFill="1" applyBorder="1" applyAlignment="1">
      <alignment vertical="top"/>
    </xf>
    <xf numFmtId="0" fontId="10" fillId="22" borderId="36" xfId="88" applyFont="1" applyFill="1" applyBorder="1" applyAlignment="1">
      <alignment horizontal="center" vertical="top"/>
    </xf>
    <xf numFmtId="4" fontId="62" fillId="22" borderId="36" xfId="29" applyNumberFormat="1" applyFont="1" applyFill="1" applyBorder="1" applyAlignment="1">
      <alignment vertical="top"/>
    </xf>
    <xf numFmtId="0" fontId="27" fillId="23" borderId="31" xfId="94" applyFont="1" applyFill="1" applyBorder="1" applyAlignment="1" applyProtection="1">
      <protection locked="0"/>
    </xf>
    <xf numFmtId="0" fontId="7" fillId="22" borderId="5" xfId="71" applyFont="1" applyFill="1" applyBorder="1" applyAlignment="1">
      <alignment horizontal="left" vertical="top" wrapText="1"/>
    </xf>
    <xf numFmtId="0" fontId="27" fillId="23" borderId="0" xfId="88" applyFont="1" applyFill="1" applyBorder="1" applyAlignment="1">
      <alignment vertical="top"/>
    </xf>
    <xf numFmtId="4" fontId="26" fillId="23" borderId="0" xfId="88" applyNumberFormat="1" applyFont="1" applyFill="1" applyAlignment="1">
      <alignment vertical="top"/>
    </xf>
    <xf numFmtId="0" fontId="25" fillId="23" borderId="0" xfId="88" applyFont="1" applyFill="1" applyAlignment="1">
      <alignment vertical="top"/>
    </xf>
    <xf numFmtId="4" fontId="25" fillId="23" borderId="0" xfId="88" applyNumberFormat="1" applyFont="1" applyFill="1" applyAlignment="1">
      <alignment vertical="top"/>
    </xf>
    <xf numFmtId="0" fontId="26" fillId="23" borderId="7" xfId="88" applyFont="1" applyFill="1" applyBorder="1" applyAlignment="1">
      <alignment horizontal="centerContinuous" vertical="top"/>
    </xf>
    <xf numFmtId="0" fontId="26" fillId="23" borderId="11" xfId="88" applyFont="1" applyFill="1" applyBorder="1" applyAlignment="1">
      <alignment horizontal="centerContinuous" vertical="top"/>
    </xf>
    <xf numFmtId="0" fontId="26" fillId="23" borderId="23" xfId="88" applyFont="1" applyFill="1" applyBorder="1" applyAlignment="1">
      <alignment horizontal="centerContinuous" vertical="top"/>
    </xf>
    <xf numFmtId="4" fontId="10" fillId="23" borderId="9" xfId="29" applyNumberFormat="1" applyFont="1" applyFill="1" applyBorder="1" applyAlignment="1"/>
    <xf numFmtId="4" fontId="26" fillId="17" borderId="11" xfId="87" applyNumberFormat="1" applyFont="1" applyFill="1" applyBorder="1" applyAlignment="1"/>
    <xf numFmtId="4" fontId="10" fillId="23" borderId="8" xfId="29" applyNumberFormat="1" applyFont="1" applyFill="1" applyBorder="1" applyAlignment="1">
      <alignment vertical="top"/>
    </xf>
    <xf numFmtId="2" fontId="10" fillId="23" borderId="14" xfId="88" applyNumberFormat="1" applyFont="1" applyFill="1" applyBorder="1" applyAlignment="1">
      <alignment vertical="top"/>
    </xf>
    <xf numFmtId="2" fontId="10" fillId="23" borderId="12" xfId="88" applyNumberFormat="1" applyFont="1" applyFill="1" applyBorder="1" applyAlignment="1">
      <alignment vertical="top"/>
    </xf>
    <xf numFmtId="2" fontId="10" fillId="23" borderId="12" xfId="88" applyNumberFormat="1" applyFont="1" applyFill="1" applyBorder="1" applyAlignment="1">
      <alignment horizontal="center" vertical="top"/>
    </xf>
    <xf numFmtId="4" fontId="62" fillId="23" borderId="13" xfId="88" applyNumberFormat="1" applyFont="1" applyFill="1" applyBorder="1" applyAlignment="1">
      <alignment vertical="top"/>
    </xf>
    <xf numFmtId="0" fontId="10" fillId="23" borderId="6" xfId="88" applyFont="1" applyFill="1" applyBorder="1" applyAlignment="1">
      <alignment vertical="top"/>
    </xf>
    <xf numFmtId="0" fontId="10" fillId="23" borderId="7" xfId="88" applyFont="1" applyFill="1" applyBorder="1" applyAlignment="1">
      <alignment horizontal="center" vertical="top"/>
    </xf>
    <xf numFmtId="0" fontId="10" fillId="23" borderId="22" xfId="88" applyFont="1" applyFill="1" applyBorder="1" applyAlignment="1">
      <alignment vertical="top"/>
    </xf>
    <xf numFmtId="4" fontId="10" fillId="23" borderId="23" xfId="88" applyNumberFormat="1" applyFont="1" applyFill="1" applyBorder="1" applyAlignment="1">
      <alignment vertical="top"/>
    </xf>
    <xf numFmtId="0" fontId="10" fillId="23" borderId="23" xfId="88" applyFont="1" applyFill="1" applyBorder="1" applyAlignment="1">
      <alignment vertical="top"/>
    </xf>
    <xf numFmtId="4" fontId="13" fillId="23" borderId="23" xfId="88" applyNumberFormat="1" applyFont="1" applyFill="1" applyBorder="1" applyAlignment="1">
      <alignment horizontal="right" vertical="top"/>
    </xf>
    <xf numFmtId="4" fontId="62" fillId="23" borderId="41" xfId="88" applyNumberFormat="1" applyFont="1" applyFill="1" applyBorder="1" applyAlignment="1">
      <alignment vertical="top"/>
    </xf>
    <xf numFmtId="4" fontId="63" fillId="23" borderId="13" xfId="88" applyNumberFormat="1" applyFont="1" applyFill="1" applyBorder="1" applyAlignment="1">
      <alignment vertical="top"/>
    </xf>
    <xf numFmtId="0" fontId="10" fillId="17" borderId="6" xfId="88" applyFont="1" applyFill="1" applyBorder="1" applyAlignment="1">
      <alignment horizontal="right"/>
    </xf>
    <xf numFmtId="177" fontId="17" fillId="17" borderId="8" xfId="63" applyFont="1" applyFill="1" applyBorder="1"/>
    <xf numFmtId="0" fontId="10" fillId="17" borderId="10" xfId="88" applyFont="1" applyFill="1" applyBorder="1" applyAlignment="1">
      <alignment horizontal="right"/>
    </xf>
    <xf numFmtId="0" fontId="3" fillId="17" borderId="10" xfId="88" applyFont="1" applyFill="1" applyBorder="1" applyAlignment="1">
      <alignment horizontal="right" vertical="top"/>
    </xf>
    <xf numFmtId="0" fontId="3" fillId="17" borderId="14" xfId="88" applyFont="1" applyFill="1" applyBorder="1"/>
    <xf numFmtId="4" fontId="2" fillId="17" borderId="12" xfId="88" applyNumberFormat="1" applyFont="1" applyFill="1" applyBorder="1" applyAlignment="1">
      <alignment horizontal="right" vertical="top"/>
    </xf>
    <xf numFmtId="0" fontId="13" fillId="17" borderId="0" xfId="91" quotePrefix="1" applyFont="1" applyFill="1" applyBorder="1" applyAlignment="1" applyProtection="1">
      <alignment horizontal="left" vertical="center"/>
    </xf>
    <xf numFmtId="177" fontId="13" fillId="17" borderId="0" xfId="63" applyFont="1" applyFill="1" applyBorder="1" applyAlignment="1">
      <alignment horizontal="right" vertical="center"/>
    </xf>
    <xf numFmtId="0" fontId="13" fillId="17" borderId="0" xfId="91" applyFont="1" applyFill="1" applyBorder="1" applyAlignment="1">
      <alignment horizontal="center" vertical="center"/>
    </xf>
    <xf numFmtId="177" fontId="10" fillId="17" borderId="42" xfId="60" quotePrefix="1" applyNumberFormat="1" applyFont="1" applyFill="1" applyBorder="1" applyAlignment="1" applyProtection="1">
      <alignment horizontal="left" vertical="center"/>
    </xf>
    <xf numFmtId="4" fontId="10" fillId="17" borderId="7" xfId="63" applyNumberFormat="1" applyFont="1" applyFill="1" applyBorder="1" applyAlignment="1" applyProtection="1">
      <alignment horizontal="right" vertical="center"/>
    </xf>
    <xf numFmtId="177" fontId="10" fillId="17" borderId="7" xfId="60" applyNumberFormat="1" applyFont="1" applyFill="1" applyBorder="1" applyAlignment="1" applyProtection="1">
      <alignment horizontal="center" vertical="center"/>
    </xf>
    <xf numFmtId="4" fontId="8" fillId="17" borderId="8" xfId="0" applyNumberFormat="1" applyFont="1" applyFill="1" applyBorder="1" applyAlignment="1" applyProtection="1">
      <alignment horizontal="right" vertical="center"/>
      <protection locked="0"/>
    </xf>
    <xf numFmtId="177" fontId="10" fillId="17" borderId="43" xfId="60" quotePrefix="1" applyNumberFormat="1" applyFont="1" applyFill="1" applyBorder="1" applyAlignment="1" applyProtection="1">
      <alignment horizontal="left" vertical="center"/>
    </xf>
    <xf numFmtId="175" fontId="10" fillId="17" borderId="11" xfId="63" applyNumberFormat="1" applyFont="1" applyFill="1" applyBorder="1" applyAlignment="1" applyProtection="1">
      <alignment horizontal="right" vertical="center"/>
    </xf>
    <xf numFmtId="177" fontId="10" fillId="17" borderId="11" xfId="60" applyNumberFormat="1" applyFont="1" applyFill="1" applyBorder="1" applyAlignment="1" applyProtection="1">
      <alignment horizontal="center" vertical="center"/>
    </xf>
    <xf numFmtId="4" fontId="10" fillId="17" borderId="11" xfId="63" applyNumberFormat="1" applyFont="1" applyFill="1" applyBorder="1" applyAlignment="1" applyProtection="1">
      <alignment horizontal="right" vertical="center"/>
    </xf>
    <xf numFmtId="4" fontId="8" fillId="17" borderId="9" xfId="0" applyNumberFormat="1" applyFont="1" applyFill="1" applyBorder="1" applyAlignment="1" applyProtection="1">
      <alignment horizontal="right" vertical="center"/>
      <protection locked="0"/>
    </xf>
    <xf numFmtId="0" fontId="10" fillId="17" borderId="44" xfId="91" quotePrefix="1" applyFont="1" applyFill="1" applyBorder="1" applyAlignment="1" applyProtection="1">
      <alignment horizontal="left" vertical="center"/>
    </xf>
    <xf numFmtId="4" fontId="10" fillId="17" borderId="0" xfId="63" applyNumberFormat="1" applyFont="1" applyFill="1" applyBorder="1" applyAlignment="1">
      <alignment vertical="center"/>
    </xf>
    <xf numFmtId="177" fontId="10" fillId="17" borderId="45" xfId="60" applyNumberFormat="1" applyFont="1" applyFill="1" applyBorder="1" applyAlignment="1">
      <alignment vertical="center"/>
    </xf>
    <xf numFmtId="177" fontId="10" fillId="17" borderId="12" xfId="63" applyFont="1" applyFill="1" applyBorder="1" applyAlignment="1">
      <alignment horizontal="right" vertical="center"/>
    </xf>
    <xf numFmtId="177" fontId="10" fillId="17" borderId="12" xfId="60" applyNumberFormat="1" applyFont="1" applyFill="1" applyBorder="1" applyAlignment="1">
      <alignment horizontal="center" vertical="center"/>
    </xf>
    <xf numFmtId="4" fontId="13" fillId="17" borderId="13" xfId="63" applyNumberFormat="1" applyFont="1" applyFill="1" applyBorder="1" applyAlignment="1" applyProtection="1">
      <alignment horizontal="right" vertical="center"/>
    </xf>
    <xf numFmtId="0" fontId="10" fillId="17" borderId="42" xfId="91" quotePrefix="1" applyFont="1" applyFill="1" applyBorder="1" applyAlignment="1" applyProtection="1">
      <alignment horizontal="left" vertical="center"/>
    </xf>
    <xf numFmtId="178" fontId="10" fillId="17" borderId="7" xfId="63" applyNumberFormat="1" applyFont="1" applyFill="1" applyBorder="1" applyAlignment="1" applyProtection="1">
      <alignment horizontal="right" vertical="center"/>
    </xf>
    <xf numFmtId="0" fontId="10" fillId="17" borderId="7" xfId="91" applyFont="1" applyFill="1" applyBorder="1" applyAlignment="1" applyProtection="1">
      <alignment horizontal="center" vertical="center"/>
    </xf>
    <xf numFmtId="0" fontId="10" fillId="17" borderId="43" xfId="91" quotePrefix="1" applyFont="1" applyFill="1" applyBorder="1" applyAlignment="1" applyProtection="1">
      <alignment horizontal="left" vertical="center"/>
    </xf>
    <xf numFmtId="0" fontId="10" fillId="17" borderId="11" xfId="91" applyFont="1" applyFill="1" applyBorder="1" applyAlignment="1" applyProtection="1">
      <alignment horizontal="center" vertical="center"/>
    </xf>
    <xf numFmtId="174" fontId="10" fillId="17" borderId="11" xfId="63" applyNumberFormat="1" applyFont="1" applyFill="1" applyBorder="1" applyAlignment="1" applyProtection="1">
      <alignment horizontal="right" vertical="center"/>
    </xf>
    <xf numFmtId="0" fontId="10" fillId="17" borderId="45" xfId="91" quotePrefix="1" applyFont="1" applyFill="1" applyBorder="1" applyAlignment="1" applyProtection="1">
      <alignment horizontal="left" vertical="center"/>
    </xf>
    <xf numFmtId="177" fontId="10" fillId="17" borderId="12" xfId="63" applyFont="1" applyFill="1" applyBorder="1" applyAlignment="1" applyProtection="1">
      <alignment horizontal="right" vertical="center"/>
    </xf>
    <xf numFmtId="0" fontId="10" fillId="17" borderId="12" xfId="91" applyFont="1" applyFill="1" applyBorder="1" applyAlignment="1" applyProtection="1">
      <alignment horizontal="center" vertical="center"/>
    </xf>
    <xf numFmtId="177" fontId="13" fillId="17" borderId="13" xfId="63" applyFont="1" applyFill="1" applyBorder="1" applyAlignment="1" applyProtection="1">
      <alignment horizontal="right" vertical="center"/>
      <protection locked="0"/>
    </xf>
    <xf numFmtId="0" fontId="13" fillId="22" borderId="7" xfId="88" applyFont="1" applyFill="1" applyBorder="1" applyAlignment="1">
      <alignment horizontal="right" vertical="top"/>
    </xf>
    <xf numFmtId="4" fontId="13" fillId="17" borderId="7" xfId="88" applyNumberFormat="1" applyFont="1" applyFill="1" applyBorder="1" applyAlignment="1">
      <alignment horizontal="right" vertical="top"/>
    </xf>
    <xf numFmtId="4" fontId="10" fillId="17" borderId="8" xfId="88" applyNumberFormat="1" applyFont="1" applyFill="1" applyBorder="1" applyAlignment="1">
      <alignment vertical="top"/>
    </xf>
    <xf numFmtId="0" fontId="13" fillId="22" borderId="12" xfId="88" applyFont="1" applyFill="1" applyBorder="1" applyAlignment="1">
      <alignment horizontal="right" vertical="top"/>
    </xf>
    <xf numFmtId="4" fontId="13" fillId="17" borderId="27" xfId="88" applyNumberFormat="1" applyFont="1" applyFill="1" applyBorder="1" applyAlignment="1">
      <alignment horizontal="right" vertical="top"/>
    </xf>
    <xf numFmtId="0" fontId="8" fillId="22" borderId="0" xfId="0" applyFont="1" applyFill="1" applyBorder="1" applyAlignment="1">
      <alignment horizontal="left"/>
    </xf>
    <xf numFmtId="0" fontId="0" fillId="24" borderId="0" xfId="0" applyFill="1"/>
    <xf numFmtId="0" fontId="13" fillId="22" borderId="0" xfId="88" applyFont="1" applyFill="1"/>
    <xf numFmtId="0" fontId="26" fillId="22" borderId="6" xfId="88" applyFont="1" applyFill="1" applyBorder="1"/>
    <xf numFmtId="0" fontId="26" fillId="22" borderId="7" xfId="88" applyFont="1" applyFill="1" applyBorder="1"/>
    <xf numFmtId="0" fontId="26" fillId="22" borderId="7" xfId="88" applyFont="1" applyFill="1" applyBorder="1" applyAlignment="1">
      <alignment horizontal="centerContinuous"/>
    </xf>
    <xf numFmtId="4" fontId="26" fillId="22" borderId="7" xfId="88" applyNumberFormat="1" applyFont="1" applyFill="1" applyBorder="1"/>
    <xf numFmtId="4" fontId="10" fillId="22" borderId="8" xfId="29" applyNumberFormat="1" applyFont="1" applyFill="1" applyBorder="1"/>
    <xf numFmtId="0" fontId="26" fillId="22" borderId="10" xfId="88" applyFont="1" applyFill="1" applyBorder="1"/>
    <xf numFmtId="2" fontId="26" fillId="22" borderId="11" xfId="88" applyNumberFormat="1" applyFont="1" applyFill="1" applyBorder="1"/>
    <xf numFmtId="0" fontId="26" fillId="22" borderId="11" xfId="88" applyFont="1" applyFill="1" applyBorder="1" applyAlignment="1">
      <alignment horizontal="centerContinuous"/>
    </xf>
    <xf numFmtId="4" fontId="26" fillId="22" borderId="11" xfId="88" applyNumberFormat="1" applyFont="1" applyFill="1" applyBorder="1"/>
    <xf numFmtId="4" fontId="10" fillId="22" borderId="9" xfId="29" applyNumberFormat="1" applyFont="1" applyFill="1" applyBorder="1"/>
    <xf numFmtId="0" fontId="26" fillId="22" borderId="22" xfId="88" applyFont="1" applyFill="1" applyBorder="1"/>
    <xf numFmtId="2" fontId="26" fillId="22" borderId="23" xfId="88" applyNumberFormat="1" applyFont="1" applyFill="1" applyBorder="1"/>
    <xf numFmtId="0" fontId="26" fillId="22" borderId="23" xfId="88" applyFont="1" applyFill="1" applyBorder="1" applyAlignment="1">
      <alignment horizontal="centerContinuous"/>
    </xf>
    <xf numFmtId="4" fontId="26" fillId="22" borderId="23" xfId="88" applyNumberFormat="1" applyFont="1" applyFill="1" applyBorder="1"/>
    <xf numFmtId="0" fontId="7" fillId="22" borderId="5" xfId="0" applyFont="1" applyFill="1" applyBorder="1" applyAlignment="1">
      <alignment vertical="top"/>
    </xf>
    <xf numFmtId="4" fontId="26" fillId="22" borderId="0" xfId="88" applyNumberFormat="1" applyFont="1" applyFill="1"/>
    <xf numFmtId="176" fontId="3" fillId="22" borderId="0" xfId="88" applyNumberFormat="1" applyFont="1" applyFill="1"/>
    <xf numFmtId="39" fontId="10" fillId="17" borderId="0" xfId="88" applyNumberFormat="1" applyFont="1" applyFill="1" applyBorder="1" applyAlignment="1">
      <alignment horizontal="center"/>
    </xf>
    <xf numFmtId="4" fontId="10" fillId="17" borderId="0" xfId="88" quotePrefix="1" applyNumberFormat="1" applyFont="1" applyFill="1" applyBorder="1" applyAlignment="1">
      <alignment horizontal="right"/>
    </xf>
    <xf numFmtId="4" fontId="17" fillId="17" borderId="0" xfId="88" applyNumberFormat="1" applyFont="1" applyFill="1" applyBorder="1"/>
    <xf numFmtId="4" fontId="10" fillId="17" borderId="0" xfId="88" applyNumberFormat="1" applyFont="1" applyFill="1" applyBorder="1" applyAlignment="1">
      <alignment horizontal="right"/>
    </xf>
    <xf numFmtId="4" fontId="27" fillId="25" borderId="13" xfId="85" applyNumberFormat="1" applyFont="1" applyFill="1" applyBorder="1" applyAlignment="1"/>
    <xf numFmtId="4" fontId="13" fillId="25" borderId="13" xfId="88" applyNumberFormat="1" applyFont="1" applyFill="1" applyBorder="1"/>
    <xf numFmtId="177" fontId="17" fillId="25" borderId="0" xfId="63" applyFont="1" applyFill="1" applyBorder="1"/>
    <xf numFmtId="4" fontId="7" fillId="17" borderId="12" xfId="0" applyNumberFormat="1" applyFont="1" applyFill="1" applyBorder="1" applyAlignment="1">
      <alignment horizontal="right"/>
    </xf>
    <xf numFmtId="0" fontId="41" fillId="24" borderId="0" xfId="88" applyFont="1" applyFill="1" applyAlignment="1">
      <alignment horizontal="left"/>
    </xf>
    <xf numFmtId="4" fontId="41" fillId="24" borderId="0" xfId="88" applyNumberFormat="1" applyFont="1" applyFill="1" applyAlignment="1"/>
    <xf numFmtId="0" fontId="41" fillId="24" borderId="0" xfId="88" applyFont="1" applyFill="1" applyAlignment="1"/>
    <xf numFmtId="0" fontId="3" fillId="24" borderId="0" xfId="88" applyFont="1" applyFill="1"/>
    <xf numFmtId="0" fontId="42" fillId="24" borderId="0" xfId="88" quotePrefix="1" applyFont="1" applyFill="1" applyAlignment="1">
      <alignment horizontal="left"/>
    </xf>
    <xf numFmtId="4" fontId="43" fillId="24" borderId="0" xfId="88" applyNumberFormat="1" applyFont="1" applyFill="1"/>
    <xf numFmtId="0" fontId="43" fillId="24" borderId="0" xfId="88" applyFont="1" applyFill="1"/>
    <xf numFmtId="0" fontId="43" fillId="24" borderId="6" xfId="88" applyFont="1" applyFill="1" applyBorder="1"/>
    <xf numFmtId="4" fontId="43" fillId="24" borderId="7" xfId="88" applyNumberFormat="1" applyFont="1" applyFill="1" applyBorder="1"/>
    <xf numFmtId="0" fontId="43" fillId="24" borderId="7" xfId="88" applyFont="1" applyFill="1" applyBorder="1" applyAlignment="1">
      <alignment horizontal="centerContinuous"/>
    </xf>
    <xf numFmtId="4" fontId="43" fillId="24" borderId="8" xfId="88" applyNumberFormat="1" applyFont="1" applyFill="1" applyBorder="1"/>
    <xf numFmtId="0" fontId="43" fillId="24" borderId="10" xfId="88" applyFont="1" applyFill="1" applyBorder="1"/>
    <xf numFmtId="4" fontId="43" fillId="24" borderId="11" xfId="88" applyNumberFormat="1" applyFont="1" applyFill="1" applyBorder="1"/>
    <xf numFmtId="0" fontId="43" fillId="24" borderId="11" xfId="88" applyFont="1" applyFill="1" applyBorder="1" applyAlignment="1">
      <alignment horizontal="centerContinuous"/>
    </xf>
    <xf numFmtId="4" fontId="43" fillId="24" borderId="9" xfId="88" applyNumberFormat="1" applyFont="1" applyFill="1" applyBorder="1"/>
    <xf numFmtId="0" fontId="43" fillId="24" borderId="14" xfId="88" applyFont="1" applyFill="1" applyBorder="1"/>
    <xf numFmtId="4" fontId="43" fillId="24" borderId="12" xfId="88" applyNumberFormat="1" applyFont="1" applyFill="1" applyBorder="1"/>
    <xf numFmtId="0" fontId="43" fillId="24" borderId="12" xfId="88" applyFont="1" applyFill="1" applyBorder="1"/>
    <xf numFmtId="4" fontId="42" fillId="24" borderId="12" xfId="88" applyNumberFormat="1" applyFont="1" applyFill="1" applyBorder="1" applyAlignment="1">
      <alignment horizontal="right"/>
    </xf>
    <xf numFmtId="4" fontId="42" fillId="24" borderId="13" xfId="88" applyNumberFormat="1" applyFont="1" applyFill="1" applyBorder="1" applyAlignment="1">
      <alignment horizontal="right"/>
    </xf>
    <xf numFmtId="0" fontId="43" fillId="24" borderId="0" xfId="88" applyFont="1" applyFill="1" applyBorder="1"/>
    <xf numFmtId="4" fontId="43" fillId="24" borderId="0" xfId="88" applyNumberFormat="1" applyFont="1" applyFill="1" applyBorder="1"/>
    <xf numFmtId="4" fontId="42" fillId="24" borderId="0" xfId="88" applyNumberFormat="1" applyFont="1" applyFill="1" applyBorder="1" applyAlignment="1">
      <alignment horizontal="right"/>
    </xf>
    <xf numFmtId="0" fontId="42" fillId="24" borderId="0" xfId="88" applyFont="1" applyFill="1" applyAlignment="1">
      <alignment horizontal="left"/>
    </xf>
    <xf numFmtId="0" fontId="42" fillId="24" borderId="0" xfId="88" applyFont="1" applyFill="1" applyAlignment="1">
      <alignment horizontal="centerContinuous"/>
    </xf>
    <xf numFmtId="4" fontId="42" fillId="24" borderId="0" xfId="88" applyNumberFormat="1" applyFont="1" applyFill="1" applyAlignment="1">
      <alignment horizontal="centerContinuous"/>
    </xf>
    <xf numFmtId="0" fontId="43" fillId="24" borderId="11" xfId="88" applyFont="1" applyFill="1" applyBorder="1" applyAlignment="1">
      <alignment horizontal="center"/>
    </xf>
    <xf numFmtId="0" fontId="42" fillId="24" borderId="0" xfId="88" applyFont="1" applyFill="1" applyAlignment="1"/>
    <xf numFmtId="0" fontId="42" fillId="24" borderId="0" xfId="88" applyFont="1" applyFill="1"/>
    <xf numFmtId="0" fontId="43" fillId="24" borderId="11" xfId="88" applyFont="1" applyFill="1" applyBorder="1"/>
    <xf numFmtId="4" fontId="42" fillId="24" borderId="11" xfId="88" applyNumberFormat="1" applyFont="1" applyFill="1" applyBorder="1" applyAlignment="1">
      <alignment horizontal="right"/>
    </xf>
    <xf numFmtId="4" fontId="42" fillId="24" borderId="9" xfId="88" applyNumberFormat="1" applyFont="1" applyFill="1" applyBorder="1" applyAlignment="1">
      <alignment horizontal="right"/>
    </xf>
    <xf numFmtId="4" fontId="42" fillId="24" borderId="0" xfId="88" applyNumberFormat="1" applyFont="1" applyFill="1"/>
    <xf numFmtId="0" fontId="43" fillId="24" borderId="46" xfId="88" applyFont="1" applyFill="1" applyBorder="1"/>
    <xf numFmtId="0" fontId="43" fillId="24" borderId="22" xfId="88" applyFont="1" applyFill="1" applyBorder="1"/>
    <xf numFmtId="4" fontId="43" fillId="24" borderId="23" xfId="88" applyNumberFormat="1" applyFont="1" applyFill="1" applyBorder="1"/>
    <xf numFmtId="0" fontId="43" fillId="24" borderId="23" xfId="88" applyFont="1" applyFill="1" applyBorder="1" applyAlignment="1">
      <alignment horizontal="center"/>
    </xf>
    <xf numFmtId="0" fontId="44" fillId="24" borderId="0" xfId="88" applyFont="1" applyFill="1"/>
    <xf numFmtId="4" fontId="44" fillId="24" borderId="0" xfId="88" applyNumberFormat="1" applyFont="1" applyFill="1"/>
    <xf numFmtId="0" fontId="4" fillId="24" borderId="47" xfId="88" applyFont="1" applyFill="1" applyBorder="1" applyAlignment="1">
      <alignment horizontal="center" vertical="top" wrapText="1"/>
    </xf>
    <xf numFmtId="4" fontId="4" fillId="24" borderId="47" xfId="88" applyNumberFormat="1" applyFont="1" applyFill="1" applyBorder="1" applyAlignment="1">
      <alignment horizontal="center" vertical="top" wrapText="1"/>
    </xf>
    <xf numFmtId="0" fontId="10" fillId="24" borderId="47" xfId="88" applyFont="1" applyFill="1" applyBorder="1" applyAlignment="1">
      <alignment horizontal="left"/>
    </xf>
    <xf numFmtId="4" fontId="10" fillId="24" borderId="47" xfId="29" applyNumberFormat="1" applyFont="1" applyFill="1" applyBorder="1"/>
    <xf numFmtId="177" fontId="10" fillId="24" borderId="47" xfId="29" applyFont="1" applyFill="1" applyBorder="1" applyAlignment="1">
      <alignment horizontal="centerContinuous"/>
    </xf>
    <xf numFmtId="0" fontId="10" fillId="24" borderId="0" xfId="88" applyFont="1" applyFill="1"/>
    <xf numFmtId="4" fontId="10" fillId="24" borderId="0" xfId="88" applyNumberFormat="1" applyFont="1" applyFill="1"/>
    <xf numFmtId="39" fontId="10" fillId="24" borderId="0" xfId="88" quotePrefix="1" applyNumberFormat="1" applyFont="1" applyFill="1" applyBorder="1" applyAlignment="1">
      <alignment horizontal="left"/>
    </xf>
    <xf numFmtId="0" fontId="13" fillId="24" borderId="0" xfId="88" quotePrefix="1" applyFont="1" applyFill="1" applyAlignment="1">
      <alignment horizontal="left"/>
    </xf>
    <xf numFmtId="0" fontId="10" fillId="24" borderId="6" xfId="88" applyFont="1" applyFill="1" applyBorder="1"/>
    <xf numFmtId="4" fontId="10" fillId="24" borderId="7" xfId="88" applyNumberFormat="1" applyFont="1" applyFill="1" applyBorder="1"/>
    <xf numFmtId="39" fontId="10" fillId="24" borderId="7" xfId="88" applyNumberFormat="1" applyFont="1" applyFill="1" applyBorder="1" applyAlignment="1">
      <alignment horizontal="center"/>
    </xf>
    <xf numFmtId="4" fontId="10" fillId="24" borderId="48" xfId="88" applyNumberFormat="1" applyFont="1" applyFill="1" applyBorder="1"/>
    <xf numFmtId="4" fontId="10" fillId="24" borderId="21" xfId="29" applyNumberFormat="1" applyFont="1" applyFill="1" applyBorder="1"/>
    <xf numFmtId="0" fontId="10" fillId="24" borderId="49" xfId="88" applyFont="1" applyFill="1" applyBorder="1"/>
    <xf numFmtId="4" fontId="10" fillId="24" borderId="24" xfId="88" applyNumberFormat="1" applyFont="1" applyFill="1" applyBorder="1"/>
    <xf numFmtId="39" fontId="10" fillId="24" borderId="24" xfId="88" applyNumberFormat="1" applyFont="1" applyFill="1" applyBorder="1" applyAlignment="1">
      <alignment horizontal="center"/>
    </xf>
    <xf numFmtId="4" fontId="10" fillId="24" borderId="50" xfId="88" applyNumberFormat="1" applyFont="1" applyFill="1" applyBorder="1"/>
    <xf numFmtId="4" fontId="10" fillId="24" borderId="9" xfId="29" applyNumberFormat="1" applyFont="1" applyFill="1" applyBorder="1"/>
    <xf numFmtId="0" fontId="10" fillId="24" borderId="10" xfId="88" applyFont="1" applyFill="1" applyBorder="1"/>
    <xf numFmtId="4" fontId="10" fillId="24" borderId="11" xfId="88" applyNumberFormat="1" applyFont="1" applyFill="1" applyBorder="1"/>
    <xf numFmtId="39" fontId="10" fillId="24" borderId="11" xfId="88" applyNumberFormat="1" applyFont="1" applyFill="1" applyBorder="1" applyAlignment="1">
      <alignment horizontal="center"/>
    </xf>
    <xf numFmtId="4" fontId="10" fillId="24" borderId="51" xfId="88" applyNumberFormat="1" applyFont="1" applyFill="1" applyBorder="1"/>
    <xf numFmtId="39" fontId="13" fillId="24" borderId="14" xfId="88" quotePrefix="1" applyNumberFormat="1" applyFont="1" applyFill="1" applyBorder="1" applyAlignment="1">
      <alignment horizontal="left"/>
    </xf>
    <xf numFmtId="4" fontId="13" fillId="24" borderId="12" xfId="88" quotePrefix="1" applyNumberFormat="1" applyFont="1" applyFill="1" applyBorder="1" applyAlignment="1">
      <alignment horizontal="left"/>
    </xf>
    <xf numFmtId="39" fontId="10" fillId="24" borderId="12" xfId="88" applyNumberFormat="1" applyFont="1" applyFill="1" applyBorder="1"/>
    <xf numFmtId="4" fontId="13" fillId="24" borderId="12" xfId="88" quotePrefix="1" applyNumberFormat="1" applyFont="1" applyFill="1" applyBorder="1" applyAlignment="1">
      <alignment horizontal="right"/>
    </xf>
    <xf numFmtId="4" fontId="13" fillId="24" borderId="52" xfId="88" applyNumberFormat="1" applyFont="1" applyFill="1" applyBorder="1"/>
    <xf numFmtId="4" fontId="10" fillId="24" borderId="8" xfId="29" applyNumberFormat="1" applyFont="1" applyFill="1" applyBorder="1"/>
    <xf numFmtId="0" fontId="10" fillId="24" borderId="14" xfId="88" applyFont="1" applyFill="1" applyBorder="1"/>
    <xf numFmtId="4" fontId="13" fillId="24" borderId="13" xfId="88" applyNumberFormat="1" applyFont="1" applyFill="1" applyBorder="1"/>
    <xf numFmtId="0" fontId="10" fillId="24" borderId="0" xfId="88" applyFont="1" applyFill="1" applyBorder="1"/>
    <xf numFmtId="4" fontId="13" fillId="24" borderId="0" xfId="88" quotePrefix="1" applyNumberFormat="1" applyFont="1" applyFill="1" applyBorder="1" applyAlignment="1">
      <alignment horizontal="left"/>
    </xf>
    <xf numFmtId="39" fontId="10" fillId="24" borderId="0" xfId="88" applyNumberFormat="1" applyFont="1" applyFill="1" applyBorder="1"/>
    <xf numFmtId="4" fontId="10" fillId="24" borderId="0" xfId="88" applyNumberFormat="1" applyFont="1" applyFill="1" applyBorder="1"/>
    <xf numFmtId="4" fontId="13" fillId="24" borderId="0" xfId="88" applyNumberFormat="1" applyFont="1" applyFill="1" applyBorder="1"/>
    <xf numFmtId="39" fontId="10" fillId="24" borderId="7" xfId="88" applyNumberFormat="1" applyFont="1" applyFill="1" applyBorder="1" applyAlignment="1">
      <alignment horizontal="centerContinuous"/>
    </xf>
    <xf numFmtId="39" fontId="10" fillId="24" borderId="11" xfId="88" applyNumberFormat="1" applyFont="1" applyFill="1" applyBorder="1" applyAlignment="1">
      <alignment horizontal="centerContinuous"/>
    </xf>
    <xf numFmtId="4" fontId="10" fillId="24" borderId="9" xfId="88" applyNumberFormat="1" applyFont="1" applyFill="1" applyBorder="1"/>
    <xf numFmtId="4" fontId="10" fillId="24" borderId="12" xfId="88" applyNumberFormat="1" applyFont="1" applyFill="1" applyBorder="1"/>
    <xf numFmtId="0" fontId="10" fillId="24" borderId="12" xfId="88" applyFont="1" applyFill="1" applyBorder="1" applyAlignment="1">
      <alignment horizontal="centerContinuous"/>
    </xf>
    <xf numFmtId="4" fontId="13" fillId="24" borderId="12" xfId="88" applyNumberFormat="1" applyFont="1" applyFill="1" applyBorder="1" applyAlignment="1">
      <alignment horizontal="right"/>
    </xf>
    <xf numFmtId="4" fontId="13" fillId="24" borderId="13" xfId="88" applyNumberFormat="1" applyFont="1" applyFill="1" applyBorder="1" applyAlignment="1">
      <alignment horizontal="right"/>
    </xf>
    <xf numFmtId="0" fontId="10" fillId="24" borderId="0" xfId="88" applyFont="1" applyFill="1" applyBorder="1" applyAlignment="1">
      <alignment horizontal="centerContinuous"/>
    </xf>
    <xf numFmtId="4" fontId="13" fillId="24" borderId="0" xfId="88" applyNumberFormat="1" applyFont="1" applyFill="1" applyBorder="1" applyAlignment="1">
      <alignment horizontal="right"/>
    </xf>
    <xf numFmtId="0" fontId="13" fillId="24" borderId="0" xfId="88" applyFont="1" applyFill="1" applyBorder="1"/>
    <xf numFmtId="0" fontId="13" fillId="24" borderId="0" xfId="88" applyFont="1" applyFill="1"/>
    <xf numFmtId="0" fontId="10" fillId="24" borderId="0" xfId="88" applyFont="1" applyFill="1" applyAlignment="1">
      <alignment horizontal="centerContinuous"/>
    </xf>
    <xf numFmtId="39" fontId="10" fillId="24" borderId="24" xfId="88" applyNumberFormat="1" applyFont="1" applyFill="1" applyBorder="1" applyAlignment="1">
      <alignment horizontal="centerContinuous"/>
    </xf>
    <xf numFmtId="4" fontId="13" fillId="24" borderId="0" xfId="88" applyNumberFormat="1" applyFont="1" applyFill="1" applyAlignment="1">
      <alignment horizontal="right"/>
    </xf>
    <xf numFmtId="0" fontId="10" fillId="24" borderId="7" xfId="88" applyFont="1" applyFill="1" applyBorder="1" applyAlignment="1">
      <alignment horizontal="centerContinuous"/>
    </xf>
    <xf numFmtId="0" fontId="10" fillId="24" borderId="11" xfId="88" applyFont="1" applyFill="1" applyBorder="1" applyAlignment="1">
      <alignment horizontal="centerContinuous"/>
    </xf>
    <xf numFmtId="0" fontId="10" fillId="24" borderId="12" xfId="88" applyFont="1" applyFill="1" applyBorder="1"/>
    <xf numFmtId="4" fontId="10" fillId="24" borderId="7" xfId="29" applyNumberFormat="1" applyFont="1" applyFill="1" applyBorder="1"/>
    <xf numFmtId="4" fontId="10" fillId="24" borderId="11" xfId="29" applyNumberFormat="1" applyFont="1" applyFill="1" applyBorder="1"/>
    <xf numFmtId="0" fontId="17" fillId="24" borderId="15" xfId="88" applyFont="1" applyFill="1" applyBorder="1"/>
    <xf numFmtId="4" fontId="10" fillId="24" borderId="16" xfId="88" applyNumberFormat="1" applyFont="1" applyFill="1" applyBorder="1"/>
    <xf numFmtId="39" fontId="10" fillId="24" borderId="16" xfId="88" applyNumberFormat="1" applyFont="1" applyFill="1" applyBorder="1" applyAlignment="1">
      <alignment horizontal="center"/>
    </xf>
    <xf numFmtId="4" fontId="10" fillId="24" borderId="7" xfId="88" applyNumberFormat="1" applyFont="1" applyFill="1" applyBorder="1" applyAlignment="1">
      <alignment horizontal="right"/>
    </xf>
    <xf numFmtId="4" fontId="17" fillId="24" borderId="8" xfId="88" applyNumberFormat="1" applyFont="1" applyFill="1" applyBorder="1"/>
    <xf numFmtId="0" fontId="17" fillId="24" borderId="14" xfId="88" applyFont="1" applyFill="1" applyBorder="1"/>
    <xf numFmtId="39" fontId="10" fillId="24" borderId="12" xfId="88" applyNumberFormat="1" applyFont="1" applyFill="1" applyBorder="1" applyAlignment="1">
      <alignment horizontal="center"/>
    </xf>
    <xf numFmtId="4" fontId="10" fillId="24" borderId="17" xfId="88" applyNumberFormat="1" applyFont="1" applyFill="1" applyBorder="1" applyAlignment="1">
      <alignment horizontal="right"/>
    </xf>
    <xf numFmtId="4" fontId="17" fillId="24" borderId="13" xfId="88" applyNumberFormat="1" applyFont="1" applyFill="1" applyBorder="1"/>
    <xf numFmtId="0" fontId="13" fillId="24" borderId="18" xfId="88" applyFont="1" applyFill="1" applyBorder="1"/>
    <xf numFmtId="4" fontId="13" fillId="24" borderId="19" xfId="88" applyNumberFormat="1" applyFont="1" applyFill="1" applyBorder="1"/>
    <xf numFmtId="39" fontId="10" fillId="24" borderId="19" xfId="88" quotePrefix="1" applyNumberFormat="1" applyFont="1" applyFill="1" applyBorder="1" applyAlignment="1">
      <alignment horizontal="left"/>
    </xf>
    <xf numFmtId="4" fontId="13" fillId="24" borderId="19" xfId="88" applyNumberFormat="1" applyFont="1" applyFill="1" applyBorder="1" applyAlignment="1">
      <alignment horizontal="right"/>
    </xf>
    <xf numFmtId="4" fontId="13" fillId="24" borderId="20" xfId="88" applyNumberFormat="1" applyFont="1" applyFill="1" applyBorder="1"/>
    <xf numFmtId="0" fontId="17" fillId="24" borderId="6" xfId="88" applyFont="1" applyFill="1" applyBorder="1"/>
    <xf numFmtId="4" fontId="17" fillId="24" borderId="21" xfId="88" applyNumberFormat="1" applyFont="1" applyFill="1" applyBorder="1"/>
    <xf numFmtId="0" fontId="17" fillId="24" borderId="10" xfId="88" applyFont="1" applyFill="1" applyBorder="1"/>
    <xf numFmtId="4" fontId="10" fillId="24" borderId="11" xfId="88" applyNumberFormat="1" applyFont="1" applyFill="1" applyBorder="1" applyAlignment="1">
      <alignment horizontal="right"/>
    </xf>
    <xf numFmtId="4" fontId="17" fillId="24" borderId="9" xfId="88" applyNumberFormat="1" applyFont="1" applyFill="1" applyBorder="1"/>
    <xf numFmtId="4" fontId="10" fillId="24" borderId="12" xfId="88" applyNumberFormat="1" applyFont="1" applyFill="1" applyBorder="1" applyAlignment="1">
      <alignment horizontal="right"/>
    </xf>
    <xf numFmtId="4" fontId="13" fillId="24" borderId="0" xfId="88" applyNumberFormat="1" applyFont="1" applyFill="1" applyAlignment="1">
      <alignment horizontal="left"/>
    </xf>
    <xf numFmtId="39" fontId="10" fillId="24" borderId="12" xfId="88" applyNumberFormat="1" applyFont="1" applyFill="1" applyBorder="1" applyAlignment="1">
      <alignment horizontal="centerContinuous"/>
    </xf>
    <xf numFmtId="0" fontId="13" fillId="24" borderId="6" xfId="88" applyFont="1" applyFill="1" applyBorder="1"/>
    <xf numFmtId="4" fontId="13" fillId="24" borderId="7" xfId="88" applyNumberFormat="1" applyFont="1" applyFill="1" applyBorder="1"/>
    <xf numFmtId="39" fontId="10" fillId="24" borderId="7" xfId="88" quotePrefix="1" applyNumberFormat="1" applyFont="1" applyFill="1" applyBorder="1" applyAlignment="1">
      <alignment horizontal="left"/>
    </xf>
    <xf numFmtId="4" fontId="13" fillId="24" borderId="7" xfId="88" quotePrefix="1" applyNumberFormat="1" applyFont="1" applyFill="1" applyBorder="1" applyAlignment="1">
      <alignment horizontal="right"/>
    </xf>
    <xf numFmtId="4" fontId="13" fillId="24" borderId="8" xfId="88" applyNumberFormat="1" applyFont="1" applyFill="1" applyBorder="1"/>
    <xf numFmtId="4" fontId="10" fillId="24" borderId="12" xfId="88" quotePrefix="1" applyNumberFormat="1" applyFont="1" applyFill="1" applyBorder="1" applyAlignment="1">
      <alignment horizontal="right"/>
    </xf>
    <xf numFmtId="0" fontId="17" fillId="24" borderId="0" xfId="88" applyFont="1" applyFill="1" applyBorder="1"/>
    <xf numFmtId="39" fontId="10" fillId="24" borderId="0" xfId="88" applyNumberFormat="1" applyFont="1" applyFill="1" applyBorder="1" applyAlignment="1">
      <alignment horizontal="centerContinuous"/>
    </xf>
    <xf numFmtId="175" fontId="10" fillId="24" borderId="7" xfId="88" applyNumberFormat="1" applyFont="1" applyFill="1" applyBorder="1"/>
    <xf numFmtId="0" fontId="7" fillId="24" borderId="0" xfId="0" quotePrefix="1" applyFont="1" applyFill="1" applyBorder="1" applyAlignment="1" applyProtection="1">
      <alignment horizontal="left" vertical="center"/>
    </xf>
    <xf numFmtId="0" fontId="18" fillId="24" borderId="0" xfId="0" applyFont="1" applyFill="1" applyBorder="1" applyAlignment="1">
      <alignment horizontal="right" vertical="center"/>
    </xf>
    <xf numFmtId="0" fontId="18" fillId="24" borderId="0" xfId="0" applyFont="1" applyFill="1" applyBorder="1" applyAlignment="1">
      <alignment horizontal="center" vertical="center"/>
    </xf>
    <xf numFmtId="0" fontId="8" fillId="24" borderId="6" xfId="0" applyFont="1" applyFill="1" applyBorder="1" applyAlignment="1" applyProtection="1">
      <alignment horizontal="left" vertical="center"/>
    </xf>
    <xf numFmtId="181" fontId="8" fillId="24" borderId="7" xfId="0" applyNumberFormat="1" applyFont="1" applyFill="1" applyBorder="1" applyAlignment="1" applyProtection="1">
      <alignment horizontal="right" vertical="center"/>
      <protection locked="0"/>
    </xf>
    <xf numFmtId="0" fontId="8" fillId="24" borderId="7" xfId="0" applyFont="1" applyFill="1" applyBorder="1" applyAlignment="1" applyProtection="1">
      <alignment horizontal="center" vertical="center"/>
    </xf>
    <xf numFmtId="4" fontId="8" fillId="24" borderId="7" xfId="0" applyNumberFormat="1" applyFont="1" applyFill="1" applyBorder="1" applyAlignment="1" applyProtection="1">
      <alignment horizontal="right" vertical="center"/>
    </xf>
    <xf numFmtId="0" fontId="8" fillId="24" borderId="10" xfId="0" applyFont="1" applyFill="1" applyBorder="1" applyAlignment="1" applyProtection="1">
      <alignment horizontal="left" vertical="center"/>
    </xf>
    <xf numFmtId="178" fontId="8" fillId="24" borderId="11" xfId="0" applyNumberFormat="1" applyFont="1" applyFill="1" applyBorder="1" applyAlignment="1" applyProtection="1">
      <alignment horizontal="right" vertical="center"/>
      <protection locked="0"/>
    </xf>
    <xf numFmtId="0" fontId="8" fillId="24" borderId="11" xfId="0" applyFont="1" applyFill="1" applyBorder="1" applyAlignment="1" applyProtection="1">
      <alignment horizontal="center" vertical="center"/>
    </xf>
    <xf numFmtId="4" fontId="8" fillId="24" borderId="11" xfId="0" applyNumberFormat="1" applyFont="1" applyFill="1" applyBorder="1" applyAlignment="1" applyProtection="1">
      <alignment horizontal="right" vertical="center"/>
    </xf>
    <xf numFmtId="2" fontId="8" fillId="24" borderId="11" xfId="0" applyNumberFormat="1" applyFont="1" applyFill="1" applyBorder="1" applyAlignment="1" applyProtection="1">
      <alignment horizontal="right" vertical="center"/>
    </xf>
    <xf numFmtId="0" fontId="8" fillId="24" borderId="14" xfId="0" applyFont="1" applyFill="1" applyBorder="1" applyAlignment="1">
      <alignment vertical="center"/>
    </xf>
    <xf numFmtId="0" fontId="8" fillId="24" borderId="12" xfId="0" applyFont="1" applyFill="1" applyBorder="1" applyAlignment="1">
      <alignment horizontal="right" vertical="center"/>
    </xf>
    <xf numFmtId="0" fontId="8" fillId="24" borderId="12" xfId="0" applyFont="1" applyFill="1" applyBorder="1" applyAlignment="1">
      <alignment horizontal="center" vertical="center"/>
    </xf>
    <xf numFmtId="4" fontId="7" fillId="24" borderId="12" xfId="0" quotePrefix="1" applyNumberFormat="1" applyFont="1" applyFill="1" applyBorder="1" applyAlignment="1" applyProtection="1">
      <alignment horizontal="right" vertical="center"/>
    </xf>
    <xf numFmtId="4" fontId="7" fillId="24" borderId="13" xfId="0" applyNumberFormat="1" applyFont="1" applyFill="1" applyBorder="1" applyAlignment="1" applyProtection="1">
      <alignment horizontal="right" vertical="center"/>
      <protection locked="0"/>
    </xf>
    <xf numFmtId="0" fontId="8" fillId="24" borderId="6" xfId="0" quotePrefix="1" applyFont="1" applyFill="1" applyBorder="1" applyAlignment="1">
      <alignment horizontal="left" vertical="top" wrapText="1"/>
    </xf>
    <xf numFmtId="182" fontId="8" fillId="24" borderId="7" xfId="0" applyNumberFormat="1" applyFont="1" applyFill="1" applyBorder="1" applyAlignment="1"/>
    <xf numFmtId="0" fontId="8" fillId="24" borderId="7" xfId="0" applyFont="1" applyFill="1" applyBorder="1" applyAlignment="1">
      <alignment horizontal="center"/>
    </xf>
    <xf numFmtId="4" fontId="8" fillId="24" borderId="7" xfId="0" applyNumberFormat="1" applyFont="1" applyFill="1" applyBorder="1"/>
    <xf numFmtId="0" fontId="8" fillId="24" borderId="10" xfId="0" applyFont="1" applyFill="1" applyBorder="1" applyAlignment="1">
      <alignment vertical="top" wrapText="1"/>
    </xf>
    <xf numFmtId="2" fontId="8" fillId="24" borderId="11" xfId="0" applyNumberFormat="1" applyFont="1" applyFill="1" applyBorder="1"/>
    <xf numFmtId="0" fontId="8" fillId="24" borderId="11" xfId="0" applyFont="1" applyFill="1" applyBorder="1" applyAlignment="1">
      <alignment horizontal="center"/>
    </xf>
    <xf numFmtId="0" fontId="8" fillId="24" borderId="14" xfId="0" applyFont="1" applyFill="1" applyBorder="1"/>
    <xf numFmtId="0" fontId="8" fillId="24" borderId="12" xfId="0" applyFont="1" applyFill="1" applyBorder="1"/>
    <xf numFmtId="0" fontId="8" fillId="24" borderId="12" xfId="0" applyFont="1" applyFill="1" applyBorder="1" applyAlignment="1">
      <alignment horizontal="center"/>
    </xf>
    <xf numFmtId="0" fontId="7" fillId="24" borderId="12" xfId="0" applyFont="1" applyFill="1" applyBorder="1" applyAlignment="1">
      <alignment horizontal="right"/>
    </xf>
    <xf numFmtId="44" fontId="7" fillId="24" borderId="13" xfId="0" applyNumberFormat="1" applyFont="1" applyFill="1" applyBorder="1" applyAlignment="1">
      <alignment horizontal="centerContinuous"/>
    </xf>
    <xf numFmtId="0" fontId="7" fillId="24" borderId="0" xfId="0" applyFont="1" applyFill="1" applyBorder="1" applyAlignment="1" applyProtection="1">
      <alignment horizontal="left" vertical="center"/>
    </xf>
    <xf numFmtId="0" fontId="17" fillId="24" borderId="0" xfId="0" applyFont="1" applyFill="1" applyBorder="1" applyAlignment="1">
      <alignment horizontal="right" vertical="center"/>
    </xf>
    <xf numFmtId="39" fontId="17" fillId="24" borderId="0" xfId="0" applyNumberFormat="1" applyFont="1" applyFill="1" applyBorder="1" applyAlignment="1">
      <alignment vertical="center"/>
    </xf>
    <xf numFmtId="4" fontId="8" fillId="24" borderId="7" xfId="0" applyNumberFormat="1" applyFont="1" applyFill="1" applyBorder="1" applyAlignment="1" applyProtection="1">
      <alignment horizontal="right" vertical="center"/>
      <protection locked="0"/>
    </xf>
    <xf numFmtId="4" fontId="8" fillId="24" borderId="11" xfId="0" applyNumberFormat="1" applyFont="1" applyFill="1" applyBorder="1" applyAlignment="1" applyProtection="1">
      <alignment horizontal="right" vertical="center"/>
      <protection locked="0"/>
    </xf>
    <xf numFmtId="0" fontId="7" fillId="24" borderId="0" xfId="0" applyFont="1" applyFill="1" applyAlignment="1">
      <alignment horizontal="left"/>
    </xf>
    <xf numFmtId="183" fontId="8" fillId="24" borderId="0" xfId="58" applyNumberFormat="1" applyFont="1" applyFill="1" applyBorder="1"/>
    <xf numFmtId="43" fontId="8" fillId="24" borderId="0" xfId="58" applyFont="1" applyFill="1" applyBorder="1" applyAlignment="1">
      <alignment horizontal="centerContinuous"/>
    </xf>
    <xf numFmtId="43" fontId="7" fillId="24" borderId="0" xfId="58" applyFont="1" applyFill="1" applyBorder="1" applyAlignment="1">
      <alignment horizontal="right"/>
    </xf>
    <xf numFmtId="0" fontId="8" fillId="24" borderId="6" xfId="0" applyFont="1" applyFill="1" applyBorder="1" applyAlignment="1">
      <alignment horizontal="left"/>
    </xf>
    <xf numFmtId="2" fontId="8" fillId="24" borderId="7" xfId="58" applyNumberFormat="1" applyFont="1" applyFill="1" applyBorder="1"/>
    <xf numFmtId="43" fontId="8" fillId="24" borderId="7" xfId="58" applyFont="1" applyFill="1" applyBorder="1" applyAlignment="1">
      <alignment horizontal="centerContinuous"/>
    </xf>
    <xf numFmtId="43" fontId="8" fillId="24" borderId="7" xfId="58" applyFont="1" applyFill="1" applyBorder="1" applyAlignment="1">
      <alignment horizontal="right"/>
    </xf>
    <xf numFmtId="0" fontId="8" fillId="24" borderId="10" xfId="0" applyFont="1" applyFill="1" applyBorder="1" applyAlignment="1">
      <alignment horizontal="left"/>
    </xf>
    <xf numFmtId="4" fontId="8" fillId="24" borderId="11" xfId="58" applyNumberFormat="1" applyFont="1" applyFill="1" applyBorder="1"/>
    <xf numFmtId="43" fontId="8" fillId="24" borderId="11" xfId="58" applyFont="1" applyFill="1" applyBorder="1" applyAlignment="1">
      <alignment horizontal="centerContinuous"/>
    </xf>
    <xf numFmtId="43" fontId="8" fillId="24" borderId="11" xfId="58" applyFont="1" applyFill="1" applyBorder="1" applyAlignment="1">
      <alignment horizontal="right"/>
    </xf>
    <xf numFmtId="0" fontId="8" fillId="24" borderId="22" xfId="0" applyFont="1" applyFill="1" applyBorder="1" applyAlignment="1">
      <alignment horizontal="left"/>
    </xf>
    <xf numFmtId="183" fontId="8" fillId="24" borderId="23" xfId="58" applyNumberFormat="1" applyFont="1" applyFill="1" applyBorder="1"/>
    <xf numFmtId="43" fontId="7" fillId="24" borderId="41" xfId="58" applyFont="1" applyFill="1" applyBorder="1" applyAlignment="1">
      <alignment horizontal="right"/>
    </xf>
    <xf numFmtId="0" fontId="8" fillId="24" borderId="14" xfId="0" applyFont="1" applyFill="1" applyBorder="1" applyAlignment="1">
      <alignment horizontal="left"/>
    </xf>
    <xf numFmtId="183" fontId="8" fillId="24" borderId="12" xfId="58" applyNumberFormat="1" applyFont="1" applyFill="1" applyBorder="1"/>
    <xf numFmtId="43" fontId="7" fillId="24" borderId="13" xfId="58" applyFont="1" applyFill="1" applyBorder="1" applyAlignment="1">
      <alignment horizontal="right"/>
    </xf>
    <xf numFmtId="0" fontId="10" fillId="24" borderId="10" xfId="88" quotePrefix="1" applyFont="1" applyFill="1" applyBorder="1" applyAlignment="1">
      <alignment horizontal="left"/>
    </xf>
    <xf numFmtId="0" fontId="20" fillId="24" borderId="0" xfId="88" applyFont="1" applyFill="1" applyAlignment="1">
      <alignment horizontal="centerContinuous"/>
    </xf>
    <xf numFmtId="4" fontId="20" fillId="24" borderId="0" xfId="88" applyNumberFormat="1" applyFont="1" applyFill="1" applyAlignment="1">
      <alignment horizontal="centerContinuous"/>
    </xf>
    <xf numFmtId="0" fontId="10" fillId="24" borderId="11" xfId="88" quotePrefix="1" applyFont="1" applyFill="1" applyBorder="1" applyAlignment="1">
      <alignment horizontal="centerContinuous"/>
    </xf>
    <xf numFmtId="0" fontId="10" fillId="24" borderId="11" xfId="88" applyFont="1" applyFill="1" applyBorder="1"/>
    <xf numFmtId="0" fontId="8" fillId="24" borderId="0" xfId="88" applyFont="1" applyFill="1"/>
    <xf numFmtId="0" fontId="7" fillId="24" borderId="0" xfId="88" applyFont="1" applyFill="1" applyAlignment="1">
      <alignment horizontal="right"/>
    </xf>
    <xf numFmtId="39" fontId="7" fillId="24" borderId="0" xfId="88" applyNumberFormat="1" applyFont="1" applyFill="1" applyAlignment="1">
      <alignment horizontal="right"/>
    </xf>
    <xf numFmtId="0" fontId="7" fillId="24" borderId="0" xfId="88" applyFont="1" applyFill="1"/>
    <xf numFmtId="0" fontId="8" fillId="24" borderId="6" xfId="88" applyFont="1" applyFill="1" applyBorder="1"/>
    <xf numFmtId="2" fontId="8" fillId="24" borderId="7" xfId="88" applyNumberFormat="1" applyFont="1" applyFill="1" applyBorder="1"/>
    <xf numFmtId="0" fontId="8" fillId="24" borderId="7" xfId="88" applyFont="1" applyFill="1" applyBorder="1" applyAlignment="1">
      <alignment horizontal="centerContinuous"/>
    </xf>
    <xf numFmtId="0" fontId="8" fillId="24" borderId="10" xfId="88" applyFont="1" applyFill="1" applyBorder="1"/>
    <xf numFmtId="2" fontId="8" fillId="24" borderId="11" xfId="88" applyNumberFormat="1" applyFont="1" applyFill="1" applyBorder="1"/>
    <xf numFmtId="0" fontId="8" fillId="24" borderId="11" xfId="88" applyFont="1" applyFill="1" applyBorder="1" applyAlignment="1">
      <alignment horizontal="centerContinuous"/>
    </xf>
    <xf numFmtId="0" fontId="8" fillId="24" borderId="10" xfId="88" quotePrefix="1" applyFont="1" applyFill="1" applyBorder="1" applyAlignment="1">
      <alignment horizontal="left"/>
    </xf>
    <xf numFmtId="0" fontId="8" fillId="24" borderId="11" xfId="88" applyFont="1" applyFill="1" applyBorder="1"/>
    <xf numFmtId="178" fontId="8" fillId="24" borderId="11" xfId="88" applyNumberFormat="1" applyFont="1" applyFill="1" applyBorder="1"/>
    <xf numFmtId="0" fontId="8" fillId="24" borderId="14" xfId="88" applyFont="1" applyFill="1" applyBorder="1"/>
    <xf numFmtId="0" fontId="8" fillId="24" borderId="12" xfId="88" applyFont="1" applyFill="1" applyBorder="1"/>
    <xf numFmtId="2" fontId="7" fillId="24" borderId="13" xfId="88" applyNumberFormat="1" applyFont="1" applyFill="1" applyBorder="1" applyAlignment="1">
      <alignment horizontal="right"/>
    </xf>
    <xf numFmtId="39" fontId="7" fillId="24" borderId="0" xfId="88" applyNumberFormat="1" applyFont="1" applyFill="1" applyAlignment="1"/>
    <xf numFmtId="0" fontId="7" fillId="24" borderId="0" xfId="88" applyFont="1" applyFill="1" applyBorder="1" applyAlignment="1">
      <alignment horizontal="right"/>
    </xf>
    <xf numFmtId="2" fontId="7" fillId="24" borderId="0" xfId="88" applyNumberFormat="1" applyFont="1" applyFill="1" applyBorder="1" applyAlignment="1"/>
    <xf numFmtId="178" fontId="8" fillId="24" borderId="0" xfId="88" applyNumberFormat="1" applyFont="1" applyFill="1"/>
    <xf numFmtId="178" fontId="8" fillId="24" borderId="12" xfId="88" applyNumberFormat="1" applyFont="1" applyFill="1" applyBorder="1"/>
    <xf numFmtId="0" fontId="7" fillId="24" borderId="12" xfId="88" applyFont="1" applyFill="1" applyBorder="1" applyAlignment="1">
      <alignment horizontal="right"/>
    </xf>
    <xf numFmtId="0" fontId="8" fillId="24" borderId="0" xfId="88" applyFont="1" applyFill="1" applyBorder="1"/>
    <xf numFmtId="178" fontId="8" fillId="24" borderId="0" xfId="88" applyNumberFormat="1" applyFont="1" applyFill="1" applyBorder="1"/>
    <xf numFmtId="39" fontId="7" fillId="24" borderId="0" xfId="88" applyNumberFormat="1" applyFont="1" applyFill="1" applyBorder="1" applyAlignment="1">
      <alignment horizontal="right"/>
    </xf>
    <xf numFmtId="0" fontId="7" fillId="24" borderId="0" xfId="95" applyFont="1" applyFill="1" applyBorder="1"/>
    <xf numFmtId="39" fontId="32" fillId="24" borderId="0" xfId="95" applyNumberFormat="1" applyFont="1" applyFill="1" applyBorder="1"/>
    <xf numFmtId="39" fontId="32" fillId="24" borderId="0" xfId="95" applyNumberFormat="1" applyFont="1" applyFill="1" applyBorder="1" applyAlignment="1">
      <alignment horizontal="centerContinuous"/>
    </xf>
    <xf numFmtId="39" fontId="31" fillId="24" borderId="0" xfId="95" applyNumberFormat="1" applyFont="1" applyFill="1" applyBorder="1" applyAlignment="1">
      <alignment horizontal="right"/>
    </xf>
    <xf numFmtId="2" fontId="31" fillId="24" borderId="0" xfId="95" applyNumberFormat="1" applyFont="1" applyFill="1" applyBorder="1" applyAlignment="1">
      <alignment horizontal="right"/>
    </xf>
    <xf numFmtId="0" fontId="8" fillId="24" borderId="6" xfId="95" applyFont="1" applyFill="1" applyBorder="1"/>
    <xf numFmtId="39" fontId="8" fillId="24" borderId="7" xfId="95" applyNumberFormat="1" applyFont="1" applyFill="1" applyBorder="1"/>
    <xf numFmtId="39" fontId="8" fillId="24" borderId="7" xfId="95" applyNumberFormat="1" applyFont="1" applyFill="1" applyBorder="1" applyAlignment="1">
      <alignment horizontal="centerContinuous"/>
    </xf>
    <xf numFmtId="39" fontId="8" fillId="24" borderId="7" xfId="95" applyNumberFormat="1" applyFont="1" applyFill="1" applyBorder="1" applyAlignment="1">
      <alignment vertical="top" wrapText="1"/>
    </xf>
    <xf numFmtId="0" fontId="8" fillId="24" borderId="10" xfId="95" applyFont="1" applyFill="1" applyBorder="1"/>
    <xf numFmtId="39" fontId="8" fillId="24" borderId="11" xfId="95" applyNumberFormat="1" applyFont="1" applyFill="1" applyBorder="1"/>
    <xf numFmtId="39" fontId="8" fillId="24" borderId="11" xfId="95" applyNumberFormat="1" applyFont="1" applyFill="1" applyBorder="1" applyAlignment="1">
      <alignment horizontal="centerContinuous"/>
    </xf>
    <xf numFmtId="39" fontId="8" fillId="24" borderId="11" xfId="95" applyNumberFormat="1" applyFont="1" applyFill="1" applyBorder="1" applyAlignment="1">
      <alignment vertical="top" wrapText="1"/>
    </xf>
    <xf numFmtId="0" fontId="8" fillId="24" borderId="22" xfId="95" applyFont="1" applyFill="1" applyBorder="1"/>
    <xf numFmtId="39" fontId="8" fillId="24" borderId="23" xfId="95" applyNumberFormat="1" applyFont="1" applyFill="1" applyBorder="1"/>
    <xf numFmtId="39" fontId="8" fillId="24" borderId="23" xfId="95" applyNumberFormat="1" applyFont="1" applyFill="1" applyBorder="1" applyAlignment="1">
      <alignment horizontal="centerContinuous"/>
    </xf>
    <xf numFmtId="39" fontId="8" fillId="24" borderId="23" xfId="95" applyNumberFormat="1" applyFont="1" applyFill="1" applyBorder="1" applyAlignment="1">
      <alignment vertical="top" wrapText="1"/>
    </xf>
    <xf numFmtId="0" fontId="8" fillId="24" borderId="14" xfId="95" applyFont="1" applyFill="1" applyBorder="1"/>
    <xf numFmtId="39" fontId="8" fillId="24" borderId="12" xfId="95" applyNumberFormat="1" applyFont="1" applyFill="1" applyBorder="1"/>
    <xf numFmtId="39" fontId="8" fillId="24" borderId="12" xfId="95" applyNumberFormat="1" applyFont="1" applyFill="1" applyBorder="1" applyAlignment="1">
      <alignment horizontal="centerContinuous"/>
    </xf>
    <xf numFmtId="39" fontId="7" fillId="24" borderId="12" xfId="95" applyNumberFormat="1" applyFont="1" applyFill="1" applyBorder="1" applyAlignment="1">
      <alignment horizontal="right"/>
    </xf>
    <xf numFmtId="4" fontId="7" fillId="24" borderId="13" xfId="95" applyNumberFormat="1" applyFont="1" applyFill="1" applyBorder="1" applyAlignment="1">
      <alignment horizontal="right"/>
    </xf>
    <xf numFmtId="4" fontId="7" fillId="24" borderId="13" xfId="88" applyNumberFormat="1" applyFont="1" applyFill="1" applyBorder="1" applyAlignment="1">
      <alignment horizontal="right"/>
    </xf>
    <xf numFmtId="177" fontId="7" fillId="24" borderId="0" xfId="28" applyFont="1" applyFill="1" applyBorder="1"/>
    <xf numFmtId="2" fontId="7" fillId="24" borderId="0" xfId="88" applyNumberFormat="1" applyFont="1" applyFill="1" applyBorder="1" applyAlignment="1">
      <alignment horizontal="right"/>
    </xf>
    <xf numFmtId="0" fontId="8" fillId="24" borderId="0" xfId="88" applyFont="1" applyFill="1" applyBorder="1" applyAlignment="1">
      <alignment horizontal="centerContinuous"/>
    </xf>
    <xf numFmtId="39" fontId="8" fillId="24" borderId="0" xfId="88" applyNumberFormat="1" applyFont="1" applyFill="1" applyBorder="1"/>
    <xf numFmtId="2" fontId="8" fillId="24" borderId="0" xfId="88" applyNumberFormat="1" applyFont="1" applyFill="1" applyBorder="1"/>
    <xf numFmtId="0" fontId="7" fillId="24" borderId="0" xfId="88" applyFont="1" applyFill="1" applyBorder="1"/>
    <xf numFmtId="0" fontId="8" fillId="24" borderId="5" xfId="88" applyFont="1" applyFill="1" applyBorder="1"/>
    <xf numFmtId="0" fontId="8" fillId="24" borderId="42" xfId="88" applyFont="1" applyFill="1" applyBorder="1" applyAlignment="1">
      <alignment horizontal="centerContinuous"/>
    </xf>
    <xf numFmtId="39" fontId="8" fillId="24" borderId="53" xfId="88" applyNumberFormat="1" applyFont="1" applyFill="1" applyBorder="1"/>
    <xf numFmtId="0" fontId="8" fillId="24" borderId="49" xfId="88" applyFont="1" applyFill="1" applyBorder="1"/>
    <xf numFmtId="0" fontId="8" fillId="24" borderId="24" xfId="88" applyFont="1" applyFill="1" applyBorder="1"/>
    <xf numFmtId="39" fontId="8" fillId="24" borderId="11" xfId="88" applyNumberFormat="1" applyFont="1" applyFill="1" applyBorder="1"/>
    <xf numFmtId="0" fontId="8" fillId="24" borderId="24" xfId="88" applyFont="1" applyFill="1" applyBorder="1" applyAlignment="1">
      <alignment horizontal="centerContinuous"/>
    </xf>
    <xf numFmtId="0" fontId="8" fillId="24" borderId="11" xfId="88" applyFont="1" applyFill="1" applyBorder="1" applyAlignment="1">
      <alignment horizontal="center"/>
    </xf>
    <xf numFmtId="0" fontId="7" fillId="24" borderId="26" xfId="88" applyFont="1" applyFill="1" applyBorder="1" applyAlignment="1"/>
    <xf numFmtId="0" fontId="8" fillId="24" borderId="27" xfId="88" applyFont="1" applyFill="1" applyBorder="1"/>
    <xf numFmtId="0" fontId="8" fillId="24" borderId="27" xfId="88" applyFont="1" applyFill="1" applyBorder="1" applyAlignment="1">
      <alignment horizontal="center"/>
    </xf>
    <xf numFmtId="0" fontId="8" fillId="24" borderId="28" xfId="88" applyFont="1" applyFill="1" applyBorder="1" applyAlignment="1">
      <alignment horizontal="right"/>
    </xf>
    <xf numFmtId="2" fontId="17" fillId="24" borderId="47" xfId="88" applyNumberFormat="1" applyFont="1" applyFill="1" applyBorder="1"/>
    <xf numFmtId="0" fontId="7" fillId="24" borderId="27" xfId="88" applyFont="1" applyFill="1" applyBorder="1" applyAlignment="1">
      <alignment horizontal="right"/>
    </xf>
    <xf numFmtId="2" fontId="7" fillId="24" borderId="28" xfId="88" applyNumberFormat="1" applyFont="1" applyFill="1" applyBorder="1" applyAlignment="1">
      <alignment horizontal="right"/>
    </xf>
    <xf numFmtId="0" fontId="7" fillId="17" borderId="0" xfId="89" applyFont="1" applyFill="1" applyBorder="1"/>
    <xf numFmtId="39" fontId="8" fillId="17" borderId="0" xfId="89" applyNumberFormat="1" applyFont="1" applyFill="1" applyBorder="1"/>
    <xf numFmtId="39" fontId="8" fillId="17" borderId="0" xfId="89" applyNumberFormat="1" applyFont="1" applyFill="1" applyBorder="1" applyAlignment="1">
      <alignment horizontal="centerContinuous"/>
    </xf>
    <xf numFmtId="39" fontId="7" fillId="17" borderId="0" xfId="89" applyNumberFormat="1" applyFont="1" applyFill="1" applyBorder="1" applyAlignment="1">
      <alignment horizontal="right"/>
    </xf>
    <xf numFmtId="2" fontId="7" fillId="17" borderId="0" xfId="89" applyNumberFormat="1" applyFont="1" applyFill="1" applyBorder="1" applyAlignment="1">
      <alignment horizontal="right"/>
    </xf>
    <xf numFmtId="0" fontId="8" fillId="17" borderId="11" xfId="0" applyFont="1" applyFill="1" applyBorder="1"/>
    <xf numFmtId="4" fontId="8" fillId="17" borderId="11" xfId="57" applyNumberFormat="1" applyFont="1" applyFill="1" applyBorder="1" applyAlignment="1">
      <alignment horizontal="right"/>
    </xf>
    <xf numFmtId="4" fontId="8" fillId="17" borderId="11" xfId="89" applyNumberFormat="1" applyFont="1" applyFill="1" applyBorder="1"/>
    <xf numFmtId="0" fontId="8" fillId="17" borderId="11" xfId="89" applyFont="1" applyFill="1" applyBorder="1"/>
    <xf numFmtId="0" fontId="8" fillId="17" borderId="11" xfId="89" applyFont="1" applyFill="1" applyBorder="1" applyAlignment="1">
      <alignment horizontal="center"/>
    </xf>
    <xf numFmtId="0" fontId="7" fillId="17" borderId="11" xfId="0" applyFont="1" applyFill="1" applyBorder="1" applyAlignment="1">
      <alignment horizontal="right"/>
    </xf>
    <xf numFmtId="2" fontId="7" fillId="17" borderId="11" xfId="89" applyNumberFormat="1" applyFont="1" applyFill="1" applyBorder="1"/>
    <xf numFmtId="0" fontId="45" fillId="17" borderId="0" xfId="0" applyFont="1" applyFill="1" applyBorder="1" applyAlignment="1">
      <alignment horizontal="left"/>
    </xf>
    <xf numFmtId="43" fontId="8" fillId="17" borderId="0" xfId="62" applyFont="1" applyFill="1" applyBorder="1"/>
    <xf numFmtId="43" fontId="7" fillId="17" borderId="0" xfId="62" applyFont="1" applyFill="1" applyBorder="1" applyAlignment="1">
      <alignment horizontal="right"/>
    </xf>
    <xf numFmtId="0" fontId="7" fillId="17" borderId="0" xfId="0" applyFont="1" applyFill="1" applyBorder="1" applyAlignment="1">
      <alignment horizontal="left"/>
    </xf>
    <xf numFmtId="43" fontId="8" fillId="17" borderId="7" xfId="62" applyFont="1" applyFill="1" applyBorder="1"/>
    <xf numFmtId="43" fontId="8" fillId="17" borderId="42" xfId="62" applyFont="1" applyFill="1" applyBorder="1" applyAlignment="1">
      <alignment horizontal="centerContinuous"/>
    </xf>
    <xf numFmtId="43" fontId="8" fillId="17" borderId="9" xfId="62" applyFont="1" applyFill="1" applyBorder="1"/>
    <xf numFmtId="0" fontId="8" fillId="17" borderId="49" xfId="0" applyFont="1" applyFill="1" applyBorder="1" applyAlignment="1">
      <alignment horizontal="left"/>
    </xf>
    <xf numFmtId="43" fontId="8" fillId="17" borderId="24" xfId="62" applyFont="1" applyFill="1" applyBorder="1"/>
    <xf numFmtId="43" fontId="8" fillId="17" borderId="31" xfId="62" applyFont="1" applyFill="1" applyBorder="1" applyAlignment="1">
      <alignment horizontal="centerContinuous"/>
    </xf>
    <xf numFmtId="43" fontId="8" fillId="17" borderId="43" xfId="62" applyFont="1" applyFill="1" applyBorder="1"/>
    <xf numFmtId="43" fontId="8" fillId="17" borderId="11" xfId="62" applyFont="1" applyFill="1" applyBorder="1"/>
    <xf numFmtId="43" fontId="8" fillId="17" borderId="24" xfId="62" applyFont="1" applyFill="1" applyBorder="1" applyAlignment="1">
      <alignment horizontal="centerContinuous"/>
    </xf>
    <xf numFmtId="43" fontId="8" fillId="17" borderId="11" xfId="62" applyFont="1" applyFill="1" applyBorder="1" applyAlignment="1">
      <alignment horizontal="centerContinuous"/>
    </xf>
    <xf numFmtId="0" fontId="7" fillId="17" borderId="22" xfId="0" applyFont="1" applyFill="1" applyBorder="1" applyAlignment="1">
      <alignment horizontal="left"/>
    </xf>
    <xf numFmtId="43" fontId="8" fillId="17" borderId="11" xfId="62" applyFont="1" applyFill="1" applyBorder="1" applyAlignment="1">
      <alignment horizontal="center"/>
    </xf>
    <xf numFmtId="43" fontId="8" fillId="17" borderId="23" xfId="62" applyFont="1" applyFill="1" applyBorder="1"/>
    <xf numFmtId="43" fontId="8" fillId="17" borderId="23" xfId="62" applyFont="1" applyFill="1" applyBorder="1" applyAlignment="1">
      <alignment horizontal="center"/>
    </xf>
    <xf numFmtId="43" fontId="8" fillId="17" borderId="41" xfId="62" applyFont="1" applyFill="1" applyBorder="1"/>
    <xf numFmtId="0" fontId="8" fillId="17" borderId="26" xfId="0" applyFont="1" applyFill="1" applyBorder="1" applyAlignment="1">
      <alignment horizontal="left"/>
    </xf>
    <xf numFmtId="43" fontId="8" fillId="17" borderId="27" xfId="62" applyFont="1" applyFill="1" applyBorder="1"/>
    <xf numFmtId="43" fontId="7" fillId="17" borderId="27" xfId="62" applyFont="1" applyFill="1" applyBorder="1" applyAlignment="1">
      <alignment horizontal="right"/>
    </xf>
    <xf numFmtId="43" fontId="7" fillId="17" borderId="28" xfId="62" applyFont="1" applyFill="1" applyBorder="1" applyAlignment="1">
      <alignment horizontal="right"/>
    </xf>
    <xf numFmtId="43" fontId="7" fillId="17" borderId="36" xfId="62" applyFont="1" applyFill="1" applyBorder="1" applyAlignment="1">
      <alignment horizontal="right"/>
    </xf>
    <xf numFmtId="43" fontId="8" fillId="17" borderId="0" xfId="62" applyFont="1" applyFill="1" applyBorder="1" applyAlignment="1">
      <alignment horizontal="centerContinuous"/>
    </xf>
    <xf numFmtId="39" fontId="7" fillId="17" borderId="0" xfId="90" applyNumberFormat="1" applyFont="1" applyFill="1" applyBorder="1" applyAlignment="1">
      <alignment horizontal="right"/>
    </xf>
    <xf numFmtId="0" fontId="46" fillId="17" borderId="0" xfId="89" applyFont="1" applyFill="1"/>
    <xf numFmtId="0" fontId="13" fillId="17" borderId="0" xfId="89" applyFont="1" applyFill="1"/>
    <xf numFmtId="0" fontId="7" fillId="17" borderId="0" xfId="0" applyFont="1" applyFill="1" applyBorder="1" applyAlignment="1">
      <alignment horizontal="right"/>
    </xf>
    <xf numFmtId="4" fontId="7" fillId="18" borderId="0" xfId="0" applyNumberFormat="1" applyFont="1" applyFill="1" applyBorder="1" applyAlignment="1">
      <alignment horizontal="left"/>
    </xf>
    <xf numFmtId="4" fontId="10" fillId="18" borderId="0" xfId="0" applyNumberFormat="1" applyFont="1" applyFill="1" applyBorder="1" applyAlignment="1">
      <alignment horizontal="left"/>
    </xf>
    <xf numFmtId="0" fontId="8" fillId="17" borderId="11" xfId="0" applyFont="1" applyFill="1" applyBorder="1" applyAlignment="1"/>
    <xf numFmtId="4" fontId="8" fillId="17" borderId="11" xfId="0" applyNumberFormat="1" applyFont="1" applyFill="1" applyBorder="1"/>
    <xf numFmtId="0" fontId="18" fillId="17" borderId="11" xfId="0" applyFont="1" applyFill="1" applyBorder="1" applyAlignment="1" applyProtection="1">
      <alignment horizontal="center" vertical="center"/>
    </xf>
    <xf numFmtId="4" fontId="18" fillId="17" borderId="11" xfId="0" applyNumberFormat="1" applyFont="1" applyFill="1" applyBorder="1" applyAlignment="1" applyProtection="1">
      <alignment horizontal="right" vertical="center"/>
      <protection locked="0"/>
    </xf>
    <xf numFmtId="0" fontId="8" fillId="17" borderId="11" xfId="0" applyFont="1" applyFill="1" applyBorder="1" applyAlignment="1">
      <alignment horizontal="right"/>
    </xf>
    <xf numFmtId="4" fontId="7" fillId="17" borderId="11" xfId="0" applyNumberFormat="1" applyFont="1" applyFill="1" applyBorder="1"/>
    <xf numFmtId="0" fontId="8" fillId="17" borderId="51" xfId="0" applyFont="1" applyFill="1" applyBorder="1" applyAlignment="1">
      <alignment horizontal="right"/>
    </xf>
    <xf numFmtId="4" fontId="8" fillId="17" borderId="54" xfId="0" applyNumberFormat="1" applyFont="1" applyFill="1" applyBorder="1"/>
    <xf numFmtId="0" fontId="8" fillId="17" borderId="54" xfId="0" applyFont="1" applyFill="1" applyBorder="1" applyAlignment="1">
      <alignment horizontal="right"/>
    </xf>
    <xf numFmtId="4" fontId="17" fillId="17" borderId="43" xfId="0" applyNumberFormat="1" applyFont="1" applyFill="1" applyBorder="1"/>
    <xf numFmtId="177" fontId="10" fillId="17" borderId="0" xfId="63" applyNumberFormat="1" applyFont="1" applyFill="1" applyBorder="1" applyAlignment="1">
      <alignment horizontal="right" vertical="center"/>
    </xf>
    <xf numFmtId="177" fontId="10" fillId="17" borderId="0" xfId="63" applyNumberFormat="1" applyFont="1" applyFill="1" applyBorder="1" applyAlignment="1" applyProtection="1">
      <alignment horizontal="right" vertical="center"/>
    </xf>
    <xf numFmtId="0" fontId="10" fillId="17" borderId="42" xfId="88" applyFont="1" applyFill="1" applyBorder="1"/>
    <xf numFmtId="4" fontId="10" fillId="17" borderId="7" xfId="63" applyNumberFormat="1" applyFont="1" applyFill="1" applyBorder="1"/>
    <xf numFmtId="0" fontId="10" fillId="17" borderId="43" xfId="88" applyFont="1" applyFill="1" applyBorder="1"/>
    <xf numFmtId="4" fontId="10" fillId="17" borderId="11" xfId="63" applyNumberFormat="1" applyFont="1" applyFill="1" applyBorder="1"/>
    <xf numFmtId="0" fontId="10" fillId="17" borderId="45" xfId="88" applyFont="1" applyFill="1" applyBorder="1"/>
    <xf numFmtId="177" fontId="10" fillId="17" borderId="12" xfId="63" applyNumberFormat="1" applyFont="1" applyFill="1" applyBorder="1"/>
    <xf numFmtId="177" fontId="13" fillId="17" borderId="12" xfId="63" applyNumberFormat="1" applyFont="1" applyFill="1" applyBorder="1" applyAlignment="1">
      <alignment horizontal="right"/>
    </xf>
    <xf numFmtId="4" fontId="13" fillId="17" borderId="13" xfId="63" applyNumberFormat="1" applyFont="1" applyFill="1" applyBorder="1" applyAlignment="1">
      <alignment horizontal="right"/>
    </xf>
    <xf numFmtId="177" fontId="10" fillId="17" borderId="0" xfId="63" applyNumberFormat="1" applyFont="1" applyFill="1" applyBorder="1"/>
    <xf numFmtId="177" fontId="10" fillId="17" borderId="0" xfId="63" applyNumberFormat="1" applyFont="1" applyFill="1" applyBorder="1" applyAlignment="1">
      <alignment horizontal="center"/>
    </xf>
    <xf numFmtId="177" fontId="10" fillId="17" borderId="0" xfId="63" applyNumberFormat="1" applyFont="1" applyFill="1" applyBorder="1" applyAlignment="1"/>
    <xf numFmtId="4" fontId="8" fillId="17" borderId="0" xfId="0" applyNumberFormat="1" applyFont="1" applyFill="1" applyBorder="1" applyAlignment="1" applyProtection="1">
      <alignment horizontal="right" vertical="center"/>
      <protection locked="0"/>
    </xf>
    <xf numFmtId="0" fontId="13" fillId="17" borderId="0" xfId="88" applyFont="1" applyFill="1" applyBorder="1" applyAlignment="1">
      <alignment horizontal="right"/>
    </xf>
    <xf numFmtId="177" fontId="13" fillId="17" borderId="0" xfId="63" applyNumberFormat="1" applyFont="1" applyFill="1" applyBorder="1"/>
    <xf numFmtId="0" fontId="13" fillId="17" borderId="0" xfId="88" applyFont="1" applyFill="1" applyBorder="1" applyAlignment="1">
      <alignment horizontal="center"/>
    </xf>
    <xf numFmtId="4" fontId="13" fillId="17" borderId="0" xfId="63" applyNumberFormat="1" applyFont="1" applyFill="1" applyBorder="1"/>
    <xf numFmtId="177" fontId="13" fillId="17" borderId="0" xfId="63" applyNumberFormat="1" applyFont="1" applyFill="1"/>
    <xf numFmtId="0" fontId="13" fillId="17" borderId="0" xfId="88" applyFont="1" applyFill="1" applyAlignment="1">
      <alignment horizontal="center"/>
    </xf>
    <xf numFmtId="0" fontId="10" fillId="17" borderId="7" xfId="88" applyFont="1" applyFill="1" applyBorder="1" applyAlignment="1">
      <alignment horizontal="right"/>
    </xf>
    <xf numFmtId="177" fontId="10" fillId="17" borderId="7" xfId="63" applyNumberFormat="1" applyFont="1" applyFill="1" applyBorder="1"/>
    <xf numFmtId="177" fontId="10" fillId="17" borderId="8" xfId="63" applyNumberFormat="1" applyFont="1" applyFill="1" applyBorder="1"/>
    <xf numFmtId="0" fontId="10" fillId="17" borderId="11" xfId="88" applyFont="1" applyFill="1" applyBorder="1" applyAlignment="1">
      <alignment horizontal="right"/>
    </xf>
    <xf numFmtId="177" fontId="10" fillId="17" borderId="11" xfId="63" applyNumberFormat="1" applyFont="1" applyFill="1" applyBorder="1"/>
    <xf numFmtId="177" fontId="10" fillId="17" borderId="9" xfId="63" applyNumberFormat="1" applyFont="1" applyFill="1" applyBorder="1"/>
    <xf numFmtId="177" fontId="10" fillId="17" borderId="11" xfId="63" applyNumberFormat="1" applyFont="1" applyFill="1" applyBorder="1" applyAlignment="1">
      <alignment horizontal="center"/>
    </xf>
    <xf numFmtId="4" fontId="10" fillId="17" borderId="11" xfId="63" applyNumberFormat="1" applyFont="1" applyFill="1" applyBorder="1" applyAlignment="1"/>
    <xf numFmtId="177" fontId="10" fillId="17" borderId="11" xfId="28" applyNumberFormat="1" applyFont="1" applyFill="1" applyBorder="1" applyAlignment="1">
      <alignment horizontal="center"/>
    </xf>
    <xf numFmtId="4" fontId="13" fillId="17" borderId="9" xfId="63" applyNumberFormat="1" applyFont="1" applyFill="1" applyBorder="1" applyAlignment="1"/>
    <xf numFmtId="0" fontId="13" fillId="17" borderId="12" xfId="88" applyFont="1" applyFill="1" applyBorder="1" applyAlignment="1">
      <alignment horizontal="right"/>
    </xf>
    <xf numFmtId="177" fontId="13" fillId="17" borderId="12" xfId="63" applyNumberFormat="1" applyFont="1" applyFill="1" applyBorder="1" applyAlignment="1">
      <alignment horizontal="center"/>
    </xf>
    <xf numFmtId="177" fontId="13" fillId="17" borderId="12" xfId="63" applyNumberFormat="1" applyFont="1" applyFill="1" applyBorder="1"/>
    <xf numFmtId="177" fontId="10" fillId="17" borderId="13" xfId="63" applyNumberFormat="1" applyFont="1" applyFill="1" applyBorder="1"/>
    <xf numFmtId="177" fontId="13" fillId="17" borderId="0" xfId="63" applyNumberFormat="1" applyFont="1" applyFill="1" applyBorder="1" applyAlignment="1">
      <alignment horizontal="center"/>
    </xf>
    <xf numFmtId="177" fontId="10" fillId="26" borderId="0" xfId="63" applyNumberFormat="1" applyFont="1" applyFill="1" applyBorder="1"/>
    <xf numFmtId="0" fontId="64" fillId="22" borderId="0" xfId="88" applyFont="1" applyFill="1" applyBorder="1" applyAlignment="1">
      <alignment horizontal="center"/>
    </xf>
    <xf numFmtId="177" fontId="10" fillId="22" borderId="0" xfId="63" applyNumberFormat="1" applyFont="1" applyFill="1" applyBorder="1"/>
    <xf numFmtId="0" fontId="7" fillId="17" borderId="0" xfId="0" applyFont="1" applyFill="1" applyBorder="1"/>
    <xf numFmtId="2" fontId="8" fillId="17" borderId="0" xfId="0" applyNumberFormat="1" applyFont="1" applyFill="1" applyBorder="1"/>
    <xf numFmtId="4" fontId="8" fillId="17" borderId="0" xfId="0" applyNumberFormat="1" applyFont="1" applyFill="1" applyBorder="1"/>
    <xf numFmtId="0" fontId="8" fillId="17" borderId="42" xfId="0" applyFont="1" applyFill="1" applyBorder="1"/>
    <xf numFmtId="2" fontId="8" fillId="17" borderId="7" xfId="0" applyNumberFormat="1" applyFont="1" applyFill="1" applyBorder="1"/>
    <xf numFmtId="4" fontId="8" fillId="17" borderId="8" xfId="0" applyNumberFormat="1" applyFont="1" applyFill="1" applyBorder="1"/>
    <xf numFmtId="0" fontId="8" fillId="17" borderId="43" xfId="0" applyFont="1" applyFill="1" applyBorder="1"/>
    <xf numFmtId="4" fontId="8" fillId="17" borderId="9" xfId="0" applyNumberFormat="1" applyFont="1" applyFill="1" applyBorder="1"/>
    <xf numFmtId="0" fontId="8" fillId="17" borderId="55" xfId="0" applyFont="1" applyFill="1" applyBorder="1"/>
    <xf numFmtId="2" fontId="8" fillId="17" borderId="23" xfId="0" applyNumberFormat="1" applyFont="1" applyFill="1" applyBorder="1"/>
    <xf numFmtId="0" fontId="8" fillId="17" borderId="23" xfId="0" applyFont="1" applyFill="1" applyBorder="1" applyAlignment="1">
      <alignment horizontal="center"/>
    </xf>
    <xf numFmtId="4" fontId="8" fillId="17" borderId="23" xfId="0" applyNumberFormat="1" applyFont="1" applyFill="1" applyBorder="1"/>
    <xf numFmtId="0" fontId="8" fillId="17" borderId="45" xfId="0" applyFont="1" applyFill="1" applyBorder="1"/>
    <xf numFmtId="2" fontId="8" fillId="17" borderId="12" xfId="0" applyNumberFormat="1" applyFont="1" applyFill="1" applyBorder="1"/>
    <xf numFmtId="0" fontId="10" fillId="17" borderId="7" xfId="88" applyFont="1" applyFill="1" applyBorder="1" applyAlignment="1">
      <alignment horizontal="left"/>
    </xf>
    <xf numFmtId="177" fontId="10" fillId="17" borderId="7" xfId="63" applyNumberFormat="1" applyFont="1" applyFill="1" applyBorder="1" applyAlignment="1">
      <alignment horizontal="center"/>
    </xf>
    <xf numFmtId="4" fontId="10" fillId="16" borderId="21" xfId="41" applyNumberFormat="1" applyFont="1" applyFill="1" applyBorder="1"/>
    <xf numFmtId="0" fontId="10" fillId="16" borderId="24" xfId="0" applyFont="1" applyFill="1" applyBorder="1"/>
    <xf numFmtId="4" fontId="10" fillId="16" borderId="24" xfId="0" applyNumberFormat="1" applyFont="1" applyFill="1" applyBorder="1"/>
    <xf numFmtId="4" fontId="10" fillId="16" borderId="24" xfId="0" applyNumberFormat="1" applyFont="1" applyFill="1" applyBorder="1" applyAlignment="1">
      <alignment horizontal="center"/>
    </xf>
    <xf numFmtId="4" fontId="10" fillId="17" borderId="24" xfId="41" applyNumberFormat="1" applyFont="1" applyFill="1" applyBorder="1"/>
    <xf numFmtId="4" fontId="10" fillId="16" borderId="9" xfId="41" applyNumberFormat="1" applyFont="1" applyFill="1" applyBorder="1"/>
    <xf numFmtId="0" fontId="10" fillId="16" borderId="11" xfId="0" applyFont="1" applyFill="1" applyBorder="1"/>
    <xf numFmtId="4" fontId="10" fillId="16" borderId="11" xfId="0" applyNumberFormat="1" applyFont="1" applyFill="1" applyBorder="1"/>
    <xf numFmtId="4" fontId="10" fillId="16" borderId="11" xfId="0" applyNumberFormat="1" applyFont="1" applyFill="1" applyBorder="1" applyAlignment="1">
      <alignment horizontal="center"/>
    </xf>
    <xf numFmtId="4" fontId="10" fillId="17" borderId="11" xfId="41" applyNumberFormat="1" applyFont="1" applyFill="1" applyBorder="1"/>
    <xf numFmtId="0" fontId="10" fillId="16" borderId="11" xfId="0" applyFont="1" applyFill="1" applyBorder="1" applyAlignment="1"/>
    <xf numFmtId="4" fontId="10" fillId="16" borderId="11" xfId="0" applyNumberFormat="1" applyFont="1" applyFill="1" applyBorder="1" applyAlignment="1"/>
    <xf numFmtId="4" fontId="10" fillId="17" borderId="11" xfId="41" applyNumberFormat="1" applyFont="1" applyFill="1" applyBorder="1" applyAlignment="1"/>
    <xf numFmtId="0" fontId="10" fillId="16" borderId="11" xfId="0" applyFont="1" applyFill="1" applyBorder="1" applyAlignment="1">
      <alignment vertical="top" wrapText="1"/>
    </xf>
    <xf numFmtId="0" fontId="13" fillId="16" borderId="11" xfId="0" applyFont="1" applyFill="1" applyBorder="1" applyAlignment="1">
      <alignment horizontal="right"/>
    </xf>
    <xf numFmtId="4" fontId="10" fillId="16" borderId="11" xfId="41" applyNumberFormat="1" applyFont="1" applyFill="1" applyBorder="1"/>
    <xf numFmtId="4" fontId="13" fillId="16" borderId="9" xfId="41" applyNumberFormat="1" applyFont="1" applyFill="1" applyBorder="1"/>
    <xf numFmtId="0" fontId="13" fillId="16" borderId="12" xfId="0" applyFont="1" applyFill="1" applyBorder="1" applyAlignment="1">
      <alignment horizontal="right"/>
    </xf>
    <xf numFmtId="4" fontId="10" fillId="16" borderId="12" xfId="0" applyNumberFormat="1" applyFont="1" applyFill="1" applyBorder="1"/>
    <xf numFmtId="4" fontId="10" fillId="16" borderId="12" xfId="0" applyNumberFormat="1" applyFont="1" applyFill="1" applyBorder="1" applyAlignment="1">
      <alignment horizontal="center"/>
    </xf>
    <xf numFmtId="4" fontId="10" fillId="16" borderId="12" xfId="41" applyNumberFormat="1" applyFont="1" applyFill="1" applyBorder="1"/>
    <xf numFmtId="4" fontId="13" fillId="16" borderId="13" xfId="41" applyNumberFormat="1" applyFont="1" applyFill="1" applyBorder="1"/>
    <xf numFmtId="39" fontId="8" fillId="17" borderId="0" xfId="0" applyNumberFormat="1" applyFont="1" applyFill="1" applyAlignment="1">
      <alignment vertical="top"/>
    </xf>
    <xf numFmtId="0" fontId="8" fillId="17" borderId="0" xfId="0" applyFont="1" applyFill="1" applyAlignment="1">
      <alignment vertical="top"/>
    </xf>
    <xf numFmtId="0" fontId="8" fillId="17" borderId="42" xfId="0" applyFont="1" applyFill="1" applyBorder="1" applyAlignment="1">
      <alignment vertical="top"/>
    </xf>
    <xf numFmtId="39" fontId="8" fillId="17" borderId="7" xfId="0" applyNumberFormat="1" applyFont="1" applyFill="1" applyBorder="1" applyAlignment="1">
      <alignment vertical="top"/>
    </xf>
    <xf numFmtId="0" fontId="8" fillId="17" borderId="7" xfId="0" applyFont="1" applyFill="1" applyBorder="1" applyAlignment="1">
      <alignment horizontal="center" vertical="top"/>
    </xf>
    <xf numFmtId="4" fontId="8" fillId="17" borderId="7" xfId="0" applyNumberFormat="1" applyFont="1" applyFill="1" applyBorder="1" applyAlignment="1">
      <alignment vertical="top"/>
    </xf>
    <xf numFmtId="0" fontId="8" fillId="17" borderId="43" xfId="0" applyFont="1" applyFill="1" applyBorder="1" applyAlignment="1">
      <alignment vertical="top"/>
    </xf>
    <xf numFmtId="39" fontId="8" fillId="17" borderId="11" xfId="0" applyNumberFormat="1" applyFont="1" applyFill="1" applyBorder="1" applyAlignment="1">
      <alignment vertical="top"/>
    </xf>
    <xf numFmtId="0" fontId="8" fillId="17" borderId="11" xfId="0" applyFont="1" applyFill="1" applyBorder="1" applyAlignment="1">
      <alignment horizontal="center" vertical="top"/>
    </xf>
    <xf numFmtId="4" fontId="8" fillId="17" borderId="11" xfId="0" applyNumberFormat="1" applyFont="1" applyFill="1" applyBorder="1" applyAlignment="1">
      <alignment vertical="top"/>
    </xf>
    <xf numFmtId="0" fontId="7" fillId="17" borderId="43" xfId="0" applyFont="1" applyFill="1" applyBorder="1" applyAlignment="1">
      <alignment vertical="top"/>
    </xf>
    <xf numFmtId="183" fontId="8" fillId="17" borderId="11" xfId="0" applyNumberFormat="1" applyFont="1" applyFill="1" applyBorder="1" applyAlignment="1">
      <alignment vertical="top"/>
    </xf>
    <xf numFmtId="0" fontId="8" fillId="17" borderId="11" xfId="0" applyFont="1" applyFill="1" applyBorder="1" applyAlignment="1">
      <alignment vertical="top"/>
    </xf>
    <xf numFmtId="0" fontId="8" fillId="17" borderId="9" xfId="0" applyFont="1" applyFill="1" applyBorder="1" applyAlignment="1">
      <alignment vertical="top"/>
    </xf>
    <xf numFmtId="4" fontId="8" fillId="17" borderId="11" xfId="0" applyNumberFormat="1" applyFont="1" applyFill="1" applyBorder="1" applyAlignment="1">
      <alignment horizontal="center" vertical="top"/>
    </xf>
    <xf numFmtId="4" fontId="7" fillId="17" borderId="9" xfId="0" applyNumberFormat="1" applyFont="1" applyFill="1" applyBorder="1" applyAlignment="1">
      <alignment vertical="top"/>
    </xf>
    <xf numFmtId="0" fontId="8" fillId="17" borderId="45" xfId="0" applyFont="1" applyFill="1" applyBorder="1" applyAlignment="1">
      <alignment vertical="top"/>
    </xf>
    <xf numFmtId="183" fontId="8" fillId="17" borderId="12" xfId="0" applyNumberFormat="1" applyFont="1" applyFill="1" applyBorder="1" applyAlignment="1">
      <alignment vertical="top"/>
    </xf>
    <xf numFmtId="0" fontId="8" fillId="17" borderId="12" xfId="0" applyFont="1" applyFill="1" applyBorder="1" applyAlignment="1">
      <alignment vertical="top"/>
    </xf>
    <xf numFmtId="0" fontId="7" fillId="17" borderId="12" xfId="0" applyFont="1" applyFill="1" applyBorder="1" applyAlignment="1">
      <alignment horizontal="right" vertical="top"/>
    </xf>
    <xf numFmtId="4" fontId="63" fillId="17" borderId="13" xfId="0" applyNumberFormat="1" applyFont="1" applyFill="1" applyBorder="1" applyAlignment="1">
      <alignment vertical="top"/>
    </xf>
    <xf numFmtId="39" fontId="10" fillId="17" borderId="0" xfId="93" applyFont="1" applyFill="1" applyBorder="1"/>
    <xf numFmtId="4" fontId="10" fillId="17" borderId="0" xfId="93" applyNumberFormat="1" applyFont="1" applyFill="1" applyBorder="1" applyAlignment="1">
      <alignment horizontal="right"/>
    </xf>
    <xf numFmtId="39" fontId="10" fillId="17" borderId="0" xfId="93" applyFont="1" applyFill="1" applyBorder="1" applyAlignment="1">
      <alignment horizontal="center"/>
    </xf>
    <xf numFmtId="4" fontId="10" fillId="17" borderId="0" xfId="93" applyNumberFormat="1" applyFont="1" applyFill="1" applyBorder="1"/>
    <xf numFmtId="183" fontId="8" fillId="17" borderId="0" xfId="0" applyNumberFormat="1" applyFont="1" applyFill="1" applyAlignment="1">
      <alignment vertical="top"/>
    </xf>
    <xf numFmtId="0" fontId="7" fillId="17" borderId="11" xfId="0" applyFont="1" applyFill="1" applyBorder="1" applyAlignment="1">
      <alignment horizontal="right" vertical="top"/>
    </xf>
    <xf numFmtId="0" fontId="8" fillId="17" borderId="55" xfId="0" applyFont="1" applyFill="1" applyBorder="1" applyAlignment="1">
      <alignment vertical="top"/>
    </xf>
    <xf numFmtId="183" fontId="8" fillId="17" borderId="23" xfId="0" applyNumberFormat="1" applyFont="1" applyFill="1" applyBorder="1" applyAlignment="1">
      <alignment vertical="top"/>
    </xf>
    <xf numFmtId="0" fontId="8" fillId="17" borderId="23" xfId="0" applyFont="1" applyFill="1" applyBorder="1" applyAlignment="1">
      <alignment vertical="top"/>
    </xf>
    <xf numFmtId="0" fontId="7" fillId="17" borderId="23" xfId="0" applyFont="1" applyFill="1" applyBorder="1" applyAlignment="1">
      <alignment horizontal="right" vertical="top"/>
    </xf>
    <xf numFmtId="4" fontId="63" fillId="17" borderId="41" xfId="0" applyNumberFormat="1" applyFont="1" applyFill="1" applyBorder="1" applyAlignment="1">
      <alignment vertical="top"/>
    </xf>
    <xf numFmtId="0" fontId="13" fillId="22" borderId="27" xfId="96" applyFont="1" applyFill="1" applyBorder="1" applyAlignment="1">
      <alignment horizontal="right" vertical="top"/>
    </xf>
    <xf numFmtId="4" fontId="10" fillId="22" borderId="27" xfId="61" applyNumberFormat="1" applyFont="1" applyFill="1" applyBorder="1"/>
    <xf numFmtId="177" fontId="10" fillId="22" borderId="27" xfId="61" applyNumberFormat="1" applyFont="1" applyFill="1" applyBorder="1" applyAlignment="1">
      <alignment horizontal="centerContinuous"/>
    </xf>
    <xf numFmtId="4" fontId="7" fillId="22" borderId="28" xfId="0" applyNumberFormat="1" applyFont="1" applyFill="1" applyBorder="1" applyAlignment="1" applyProtection="1">
      <alignment horizontal="right" vertical="center"/>
      <protection locked="0"/>
    </xf>
    <xf numFmtId="39" fontId="13" fillId="17" borderId="0" xfId="88" applyNumberFormat="1" applyFont="1" applyFill="1" applyBorder="1" applyAlignment="1">
      <alignment horizontal="right"/>
    </xf>
    <xf numFmtId="0" fontId="13" fillId="17" borderId="0" xfId="91" applyFont="1" applyFill="1" applyBorder="1" applyAlignment="1" applyProtection="1">
      <alignment horizontal="left" vertical="center"/>
    </xf>
    <xf numFmtId="0" fontId="10" fillId="17" borderId="7" xfId="91" applyFont="1" applyFill="1" applyBorder="1" applyAlignment="1" applyProtection="1">
      <alignment horizontal="left" vertical="center"/>
    </xf>
    <xf numFmtId="4" fontId="10" fillId="17" borderId="7" xfId="63" applyNumberFormat="1" applyFont="1" applyFill="1" applyBorder="1" applyAlignment="1">
      <alignment horizontal="right" vertical="center"/>
    </xf>
    <xf numFmtId="0" fontId="10" fillId="17" borderId="7" xfId="91" applyFont="1" applyFill="1" applyBorder="1" applyAlignment="1">
      <alignment horizontal="center" vertical="center"/>
    </xf>
    <xf numFmtId="4" fontId="10" fillId="17" borderId="21" xfId="63" applyNumberFormat="1" applyFont="1" applyFill="1" applyBorder="1" applyAlignment="1" applyProtection="1">
      <alignment horizontal="right" vertical="center"/>
      <protection locked="0"/>
    </xf>
    <xf numFmtId="0" fontId="10" fillId="17" borderId="11" xfId="91" applyFont="1" applyFill="1" applyBorder="1" applyAlignment="1" applyProtection="1">
      <alignment horizontal="left" vertical="center"/>
    </xf>
    <xf numFmtId="4" fontId="10" fillId="17" borderId="11" xfId="63" applyNumberFormat="1" applyFont="1" applyFill="1" applyBorder="1" applyAlignment="1">
      <alignment horizontal="right" vertical="center"/>
    </xf>
    <xf numFmtId="0" fontId="10" fillId="17" borderId="11" xfId="91" applyFont="1" applyFill="1" applyBorder="1" applyAlignment="1">
      <alignment horizontal="center" vertical="center"/>
    </xf>
    <xf numFmtId="4" fontId="10" fillId="17" borderId="9" xfId="63" applyNumberFormat="1" applyFont="1" applyFill="1" applyBorder="1" applyAlignment="1" applyProtection="1">
      <alignment horizontal="right" vertical="center"/>
      <protection locked="0"/>
    </xf>
    <xf numFmtId="0" fontId="8" fillId="0" borderId="11" xfId="92" applyFont="1" applyFill="1" applyBorder="1"/>
    <xf numFmtId="0" fontId="10" fillId="17" borderId="23" xfId="91" applyFont="1" applyFill="1" applyBorder="1" applyAlignment="1" applyProtection="1">
      <alignment horizontal="left" vertical="center"/>
    </xf>
    <xf numFmtId="4" fontId="10" fillId="17" borderId="23" xfId="63" applyNumberFormat="1" applyFont="1" applyFill="1" applyBorder="1" applyAlignment="1">
      <alignment horizontal="right" vertical="center"/>
    </xf>
    <xf numFmtId="0" fontId="10" fillId="17" borderId="23" xfId="91" applyFont="1" applyFill="1" applyBorder="1" applyAlignment="1">
      <alignment horizontal="center" vertical="center"/>
    </xf>
    <xf numFmtId="49" fontId="13" fillId="17" borderId="23" xfId="63" applyNumberFormat="1" applyFont="1" applyFill="1" applyBorder="1" applyAlignment="1">
      <alignment horizontal="right" vertical="center"/>
    </xf>
    <xf numFmtId="4" fontId="13" fillId="17" borderId="41" xfId="63" applyNumberFormat="1" applyFont="1" applyFill="1" applyBorder="1" applyAlignment="1">
      <alignment horizontal="right" vertical="center"/>
    </xf>
    <xf numFmtId="177" fontId="10" fillId="17" borderId="23" xfId="63" applyNumberFormat="1" applyFont="1" applyFill="1" applyBorder="1" applyAlignment="1">
      <alignment horizontal="right" vertical="center"/>
    </xf>
    <xf numFmtId="0" fontId="10" fillId="17" borderId="12" xfId="91" applyFont="1" applyFill="1" applyBorder="1" applyAlignment="1" applyProtection="1">
      <alignment horizontal="left" vertical="center"/>
    </xf>
    <xf numFmtId="177" fontId="10" fillId="17" borderId="12" xfId="63" applyNumberFormat="1" applyFont="1" applyFill="1" applyBorder="1" applyAlignment="1">
      <alignment horizontal="right" vertical="center"/>
    </xf>
    <xf numFmtId="0" fontId="10" fillId="17" borderId="12" xfId="91" applyFont="1" applyFill="1" applyBorder="1" applyAlignment="1">
      <alignment horizontal="center" vertical="center"/>
    </xf>
    <xf numFmtId="49" fontId="13" fillId="17" borderId="12" xfId="63" applyNumberFormat="1" applyFont="1" applyFill="1" applyBorder="1" applyAlignment="1">
      <alignment horizontal="right" vertical="center"/>
    </xf>
    <xf numFmtId="4" fontId="17" fillId="17" borderId="13" xfId="63" applyNumberFormat="1" applyFont="1" applyFill="1" applyBorder="1" applyAlignment="1">
      <alignment horizontal="right" vertical="center"/>
    </xf>
    <xf numFmtId="0" fontId="13" fillId="17" borderId="0" xfId="0" applyFont="1" applyFill="1" applyBorder="1"/>
    <xf numFmtId="0" fontId="10" fillId="17" borderId="0" xfId="0" applyFont="1" applyFill="1" applyBorder="1"/>
    <xf numFmtId="0" fontId="13" fillId="17" borderId="0" xfId="0" applyFont="1" applyFill="1" applyBorder="1" applyAlignment="1">
      <alignment horizontal="right"/>
    </xf>
    <xf numFmtId="39" fontId="13" fillId="17" borderId="0" xfId="0" applyNumberFormat="1" applyFont="1" applyFill="1" applyBorder="1" applyAlignment="1">
      <alignment horizontal="right"/>
    </xf>
    <xf numFmtId="0" fontId="10" fillId="17" borderId="7" xfId="0" applyFont="1" applyFill="1" applyBorder="1"/>
    <xf numFmtId="4" fontId="10" fillId="17" borderId="7" xfId="0" applyNumberFormat="1" applyFont="1" applyFill="1" applyBorder="1"/>
    <xf numFmtId="0" fontId="10" fillId="17" borderId="7" xfId="0" applyFont="1" applyFill="1" applyBorder="1" applyAlignment="1">
      <alignment horizontal="centerContinuous"/>
    </xf>
    <xf numFmtId="4" fontId="10" fillId="17" borderId="7" xfId="0" applyNumberFormat="1" applyFont="1" applyFill="1" applyBorder="1" applyAlignment="1">
      <alignment horizontal="right"/>
    </xf>
    <xf numFmtId="4" fontId="10" fillId="17" borderId="8" xfId="0" applyNumberFormat="1" applyFont="1" applyFill="1" applyBorder="1" applyAlignment="1">
      <alignment horizontal="right"/>
    </xf>
    <xf numFmtId="0" fontId="10" fillId="17" borderId="11" xfId="0" applyFont="1" applyFill="1" applyBorder="1" applyAlignment="1">
      <alignment vertical="top"/>
    </xf>
    <xf numFmtId="4" fontId="10" fillId="17" borderId="11" xfId="0" applyNumberFormat="1" applyFont="1" applyFill="1" applyBorder="1"/>
    <xf numFmtId="0" fontId="10" fillId="17" borderId="11" xfId="0" applyFont="1" applyFill="1" applyBorder="1" applyAlignment="1">
      <alignment horizontal="centerContinuous"/>
    </xf>
    <xf numFmtId="4" fontId="10" fillId="17" borderId="11" xfId="0" applyNumberFormat="1" applyFont="1" applyFill="1" applyBorder="1" applyAlignment="1">
      <alignment horizontal="right"/>
    </xf>
    <xf numFmtId="4" fontId="10" fillId="17" borderId="9" xfId="0" applyNumberFormat="1" applyFont="1" applyFill="1" applyBorder="1" applyAlignment="1">
      <alignment horizontal="right"/>
    </xf>
    <xf numFmtId="0" fontId="10" fillId="17" borderId="11" xfId="0" applyFont="1" applyFill="1" applyBorder="1"/>
    <xf numFmtId="0" fontId="10" fillId="17" borderId="11" xfId="0" applyFont="1" applyFill="1" applyBorder="1" applyAlignment="1">
      <alignment horizontal="center"/>
    </xf>
    <xf numFmtId="0" fontId="10" fillId="17" borderId="12" xfId="0" applyFont="1" applyFill="1" applyBorder="1"/>
    <xf numFmtId="4" fontId="13" fillId="17" borderId="13" xfId="0" applyNumberFormat="1" applyFont="1" applyFill="1" applyBorder="1" applyAlignment="1">
      <alignment horizontal="right"/>
    </xf>
    <xf numFmtId="177" fontId="10" fillId="17" borderId="0" xfId="63" applyNumberFormat="1" applyFont="1" applyFill="1" applyBorder="1" applyAlignment="1">
      <alignment vertical="center"/>
    </xf>
    <xf numFmtId="0" fontId="10" fillId="17" borderId="0" xfId="91" quotePrefix="1" applyFont="1" applyFill="1" applyBorder="1" applyAlignment="1" applyProtection="1">
      <alignment horizontal="left" vertical="center"/>
    </xf>
    <xf numFmtId="177" fontId="10" fillId="17" borderId="0" xfId="63" quotePrefix="1" applyNumberFormat="1" applyFont="1" applyFill="1" applyBorder="1" applyAlignment="1" applyProtection="1">
      <alignment horizontal="left" vertical="center"/>
    </xf>
    <xf numFmtId="177" fontId="10" fillId="17" borderId="45" xfId="60" quotePrefix="1" applyNumberFormat="1" applyFont="1" applyFill="1" applyBorder="1" applyAlignment="1" applyProtection="1">
      <alignment horizontal="left" vertical="center"/>
    </xf>
    <xf numFmtId="177" fontId="13" fillId="17" borderId="34" xfId="63" applyNumberFormat="1" applyFont="1" applyFill="1" applyBorder="1" applyAlignment="1">
      <alignment horizontal="right"/>
    </xf>
    <xf numFmtId="177" fontId="13" fillId="17" borderId="0" xfId="63" applyNumberFormat="1" applyFont="1" applyFill="1" applyBorder="1" applyAlignment="1" applyProtection="1">
      <alignment horizontal="right" vertical="center"/>
    </xf>
    <xf numFmtId="185" fontId="10" fillId="17" borderId="0" xfId="63" applyNumberFormat="1" applyFont="1" applyFill="1" applyBorder="1"/>
    <xf numFmtId="4" fontId="65" fillId="0" borderId="31" xfId="0" applyNumberFormat="1" applyFont="1" applyFill="1" applyBorder="1" applyAlignment="1">
      <alignment vertical="top"/>
    </xf>
    <xf numFmtId="4" fontId="66" fillId="0" borderId="31" xfId="0" applyNumberFormat="1" applyFont="1" applyFill="1" applyBorder="1" applyAlignment="1" applyProtection="1">
      <alignment vertical="center"/>
    </xf>
    <xf numFmtId="0" fontId="65" fillId="0" borderId="0" xfId="0" applyFont="1" applyFill="1" applyAlignment="1">
      <alignment vertical="top"/>
    </xf>
    <xf numFmtId="0" fontId="65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horizontal="left" vertical="top" wrapText="1"/>
    </xf>
    <xf numFmtId="0" fontId="65" fillId="0" borderId="0" xfId="0" applyFont="1" applyFill="1" applyBorder="1" applyAlignment="1">
      <alignment horizontal="left" vertical="top"/>
    </xf>
    <xf numFmtId="0" fontId="65" fillId="0" borderId="0" xfId="0" applyFont="1" applyFill="1" applyAlignment="1">
      <alignment horizontal="left" vertical="top"/>
    </xf>
    <xf numFmtId="4" fontId="67" fillId="0" borderId="0" xfId="0" applyNumberFormat="1" applyFont="1" applyFill="1" applyBorder="1" applyAlignment="1">
      <alignment horizontal="center" vertical="top"/>
    </xf>
    <xf numFmtId="39" fontId="65" fillId="0" borderId="0" xfId="0" applyNumberFormat="1" applyFont="1" applyFill="1" applyBorder="1" applyAlignment="1">
      <alignment vertical="top"/>
    </xf>
    <xf numFmtId="4" fontId="65" fillId="0" borderId="0" xfId="0" applyNumberFormat="1" applyFont="1" applyFill="1" applyBorder="1" applyAlignment="1">
      <alignment vertical="top"/>
    </xf>
    <xf numFmtId="4" fontId="67" fillId="0" borderId="0" xfId="0" applyNumberFormat="1" applyFont="1" applyFill="1" applyBorder="1" applyAlignment="1">
      <alignment vertical="top"/>
    </xf>
    <xf numFmtId="43" fontId="65" fillId="0" borderId="0" xfId="0" applyNumberFormat="1" applyFont="1" applyFill="1" applyBorder="1" applyAlignment="1">
      <alignment vertical="top"/>
    </xf>
    <xf numFmtId="39" fontId="67" fillId="0" borderId="0" xfId="0" applyNumberFormat="1" applyFont="1" applyFill="1" applyBorder="1" applyAlignment="1">
      <alignment vertical="top"/>
    </xf>
    <xf numFmtId="43" fontId="67" fillId="0" borderId="0" xfId="42" applyFont="1" applyFill="1" applyBorder="1" applyAlignment="1">
      <alignment horizontal="center" vertical="top"/>
    </xf>
    <xf numFmtId="43" fontId="65" fillId="0" borderId="0" xfId="42" applyFont="1" applyFill="1" applyBorder="1" applyAlignment="1">
      <alignment horizontal="right" vertical="top"/>
    </xf>
    <xf numFmtId="40" fontId="65" fillId="0" borderId="0" xfId="42" applyNumberFormat="1" applyFont="1" applyFill="1" applyBorder="1" applyAlignment="1">
      <alignment vertical="top" wrapText="1"/>
    </xf>
    <xf numFmtId="0" fontId="66" fillId="0" borderId="31" xfId="69" applyFont="1" applyFill="1" applyBorder="1" applyAlignment="1" applyProtection="1">
      <alignment vertical="top" wrapText="1"/>
    </xf>
    <xf numFmtId="168" fontId="66" fillId="0" borderId="31" xfId="43" applyFont="1" applyFill="1" applyBorder="1" applyAlignment="1" applyProtection="1">
      <alignment horizontal="center" vertical="center" wrapText="1"/>
    </xf>
    <xf numFmtId="4" fontId="66" fillId="0" borderId="31" xfId="0" applyNumberFormat="1" applyFont="1" applyFill="1" applyBorder="1" applyAlignment="1" applyProtection="1">
      <alignment vertical="center"/>
      <protection locked="0"/>
    </xf>
    <xf numFmtId="40" fontId="67" fillId="0" borderId="0" xfId="42" applyNumberFormat="1" applyFont="1" applyFill="1" applyBorder="1" applyAlignment="1">
      <alignment vertical="top" wrapText="1"/>
    </xf>
    <xf numFmtId="0" fontId="67" fillId="0" borderId="0" xfId="0" applyFont="1" applyFill="1" applyAlignment="1">
      <alignment vertical="top"/>
    </xf>
    <xf numFmtId="188" fontId="67" fillId="0" borderId="31" xfId="0" applyNumberFormat="1" applyFont="1" applyFill="1" applyBorder="1" applyAlignment="1" applyProtection="1">
      <alignment horizontal="center" vertical="top"/>
    </xf>
    <xf numFmtId="169" fontId="67" fillId="0" borderId="31" xfId="70" applyNumberFormat="1" applyFont="1" applyFill="1" applyBorder="1" applyAlignment="1" applyProtection="1">
      <alignment vertical="top" wrapText="1"/>
    </xf>
    <xf numFmtId="190" fontId="65" fillId="0" borderId="31" xfId="70" applyNumberFormat="1" applyFont="1" applyFill="1" applyBorder="1" applyAlignment="1" applyProtection="1">
      <alignment horizontal="right" vertical="top"/>
    </xf>
    <xf numFmtId="0" fontId="65" fillId="0" borderId="31" xfId="70" applyFont="1" applyFill="1" applyBorder="1" applyAlignment="1" applyProtection="1">
      <alignment horizontal="center" vertical="top" wrapText="1"/>
    </xf>
    <xf numFmtId="4" fontId="65" fillId="0" borderId="31" xfId="0" applyNumberFormat="1" applyFont="1" applyFill="1" applyBorder="1" applyAlignment="1" applyProtection="1">
      <alignment vertical="top" wrapText="1"/>
    </xf>
    <xf numFmtId="39" fontId="65" fillId="0" borderId="31" xfId="0" applyNumberFormat="1" applyFont="1" applyFill="1" applyBorder="1" applyAlignment="1" applyProtection="1">
      <alignment vertical="top" wrapText="1"/>
      <protection locked="0"/>
    </xf>
    <xf numFmtId="39" fontId="67" fillId="0" borderId="0" xfId="0" applyNumberFormat="1" applyFont="1" applyFill="1" applyBorder="1" applyAlignment="1" applyProtection="1">
      <alignment vertical="top" wrapText="1"/>
    </xf>
    <xf numFmtId="39" fontId="65" fillId="0" borderId="31" xfId="0" applyNumberFormat="1" applyFont="1" applyFill="1" applyBorder="1" applyAlignment="1" applyProtection="1">
      <alignment vertical="top" wrapText="1"/>
    </xf>
    <xf numFmtId="39" fontId="65" fillId="0" borderId="0" xfId="0" applyNumberFormat="1" applyFont="1" applyFill="1" applyBorder="1" applyAlignment="1" applyProtection="1">
      <alignment vertical="top" wrapText="1"/>
    </xf>
    <xf numFmtId="169" fontId="65" fillId="0" borderId="0" xfId="0" applyNumberFormat="1" applyFont="1" applyFill="1" applyBorder="1" applyAlignment="1">
      <alignment vertical="top"/>
    </xf>
    <xf numFmtId="39" fontId="65" fillId="26" borderId="31" xfId="0" applyNumberFormat="1" applyFont="1" applyFill="1" applyBorder="1" applyAlignment="1" applyProtection="1">
      <alignment vertical="top" wrapText="1"/>
      <protection locked="0"/>
    </xf>
    <xf numFmtId="0" fontId="65" fillId="0" borderId="0" xfId="73" applyFont="1" applyFill="1" applyBorder="1" applyAlignment="1">
      <alignment horizontal="center" vertical="top" wrapText="1"/>
    </xf>
    <xf numFmtId="43" fontId="65" fillId="0" borderId="0" xfId="52" applyFont="1" applyFill="1" applyBorder="1" applyAlignment="1">
      <alignment horizontal="center" vertical="top" wrapText="1"/>
    </xf>
    <xf numFmtId="43" fontId="65" fillId="0" borderId="0" xfId="52" applyFont="1" applyFill="1" applyBorder="1" applyAlignment="1">
      <alignment horizontal="left" vertical="top" wrapText="1"/>
    </xf>
    <xf numFmtId="0" fontId="65" fillId="0" borderId="0" xfId="68" applyFont="1" applyFill="1" applyBorder="1" applyAlignment="1">
      <alignment vertical="top"/>
    </xf>
    <xf numFmtId="43" fontId="65" fillId="0" borderId="0" xfId="52" applyFont="1" applyFill="1" applyBorder="1" applyAlignment="1">
      <alignment vertical="top"/>
    </xf>
    <xf numFmtId="0" fontId="67" fillId="0" borderId="0" xfId="0" applyFont="1" applyFill="1" applyAlignment="1">
      <alignment horizontal="right" vertical="top"/>
    </xf>
    <xf numFmtId="0" fontId="65" fillId="0" borderId="0" xfId="97" applyFont="1" applyFill="1" applyBorder="1" applyAlignment="1">
      <alignment vertical="top"/>
    </xf>
    <xf numFmtId="177" fontId="65" fillId="0" borderId="0" xfId="97" applyNumberFormat="1" applyFont="1" applyFill="1" applyBorder="1" applyAlignment="1">
      <alignment vertical="top"/>
    </xf>
    <xf numFmtId="0" fontId="65" fillId="0" borderId="0" xfId="0" quotePrefix="1" applyFont="1" applyFill="1" applyBorder="1" applyAlignment="1">
      <alignment horizontal="left" vertical="top"/>
    </xf>
    <xf numFmtId="187" fontId="65" fillId="0" borderId="0" xfId="41" applyNumberFormat="1" applyFont="1" applyFill="1" applyBorder="1" applyAlignment="1">
      <alignment horizontal="left" vertical="top"/>
    </xf>
    <xf numFmtId="169" fontId="65" fillId="0" borderId="0" xfId="0" applyNumberFormat="1" applyFont="1" applyFill="1" applyBorder="1" applyAlignment="1">
      <alignment horizontal="left" vertical="top"/>
    </xf>
    <xf numFmtId="0" fontId="67" fillId="0" borderId="0" xfId="0" applyFont="1" applyFill="1" applyBorder="1" applyAlignment="1">
      <alignment horizontal="right" vertical="top"/>
    </xf>
    <xf numFmtId="0" fontId="67" fillId="0" borderId="0" xfId="0" quotePrefix="1" applyFont="1" applyFill="1" applyBorder="1" applyAlignment="1">
      <alignment horizontal="right" vertical="top"/>
    </xf>
    <xf numFmtId="187" fontId="67" fillId="0" borderId="0" xfId="41" applyNumberFormat="1" applyFont="1" applyFill="1" applyBorder="1" applyAlignment="1">
      <alignment horizontal="left" vertical="top"/>
    </xf>
    <xf numFmtId="169" fontId="67" fillId="0" borderId="0" xfId="0" applyNumberFormat="1" applyFont="1" applyFill="1" applyBorder="1" applyAlignment="1">
      <alignment horizontal="left" vertical="top"/>
    </xf>
    <xf numFmtId="0" fontId="67" fillId="0" borderId="0" xfId="0" applyFont="1" applyFill="1" applyAlignment="1">
      <alignment horizontal="center" vertical="top"/>
    </xf>
    <xf numFmtId="0" fontId="65" fillId="0" borderId="0" xfId="0" applyFont="1" applyFill="1" applyAlignment="1">
      <alignment horizontal="right" vertical="top"/>
    </xf>
    <xf numFmtId="0" fontId="65" fillId="0" borderId="0" xfId="0" applyFont="1" applyFill="1" applyAlignment="1">
      <alignment horizontal="center" vertical="top"/>
    </xf>
    <xf numFmtId="171" fontId="65" fillId="0" borderId="0" xfId="0" applyNumberFormat="1" applyFont="1" applyFill="1" applyAlignment="1">
      <alignment horizontal="center" vertical="top"/>
    </xf>
    <xf numFmtId="0" fontId="65" fillId="0" borderId="0" xfId="0" applyFont="1" applyFill="1" applyBorder="1" applyAlignment="1" applyProtection="1">
      <alignment horizontal="left" vertical="top"/>
      <protection locked="0"/>
    </xf>
    <xf numFmtId="4" fontId="68" fillId="26" borderId="11" xfId="0" applyNumberFormat="1" applyFont="1" applyFill="1" applyBorder="1" applyAlignment="1" applyProtection="1">
      <alignment horizontal="center" vertical="center"/>
      <protection locked="0"/>
    </xf>
    <xf numFmtId="4" fontId="67" fillId="0" borderId="23" xfId="0" applyNumberFormat="1" applyFont="1" applyFill="1" applyBorder="1" applyAlignment="1" applyProtection="1">
      <alignment horizontal="center" vertical="top"/>
      <protection locked="0"/>
    </xf>
    <xf numFmtId="4" fontId="65" fillId="0" borderId="31" xfId="0" applyNumberFormat="1" applyFont="1" applyFill="1" applyBorder="1" applyAlignment="1" applyProtection="1">
      <alignment vertical="top"/>
      <protection locked="0"/>
    </xf>
    <xf numFmtId="43" fontId="65" fillId="0" borderId="31" xfId="0" applyNumberFormat="1" applyFont="1" applyFill="1" applyBorder="1" applyAlignment="1" applyProtection="1">
      <alignment vertical="top"/>
      <protection locked="0"/>
    </xf>
    <xf numFmtId="39" fontId="65" fillId="0" borderId="31" xfId="0" applyNumberFormat="1" applyFont="1" applyFill="1" applyBorder="1" applyAlignment="1" applyProtection="1">
      <alignment vertical="top"/>
      <protection locked="0"/>
    </xf>
    <xf numFmtId="169" fontId="65" fillId="0" borderId="31" xfId="0" applyNumberFormat="1" applyFont="1" applyFill="1" applyBorder="1" applyAlignment="1" applyProtection="1">
      <alignment vertical="top"/>
      <protection locked="0"/>
    </xf>
    <xf numFmtId="4" fontId="67" fillId="0" borderId="31" xfId="0" applyNumberFormat="1" applyFont="1" applyFill="1" applyBorder="1" applyAlignment="1" applyProtection="1">
      <alignment vertical="top"/>
      <protection locked="0"/>
    </xf>
    <xf numFmtId="4" fontId="65" fillId="0" borderId="24" xfId="0" applyNumberFormat="1" applyFont="1" applyFill="1" applyBorder="1" applyAlignment="1" applyProtection="1">
      <alignment vertical="top"/>
      <protection locked="0"/>
    </xf>
    <xf numFmtId="43" fontId="65" fillId="0" borderId="24" xfId="0" applyNumberFormat="1" applyFont="1" applyFill="1" applyBorder="1" applyAlignment="1" applyProtection="1">
      <alignment vertical="top"/>
      <protection locked="0"/>
    </xf>
    <xf numFmtId="4" fontId="65" fillId="0" borderId="31" xfId="0" applyNumberFormat="1" applyFont="1" applyFill="1" applyBorder="1" applyAlignment="1" applyProtection="1">
      <alignment horizontal="right" vertical="top" wrapText="1"/>
      <protection locked="0"/>
    </xf>
    <xf numFmtId="4" fontId="65" fillId="26" borderId="31" xfId="0" applyNumberFormat="1" applyFont="1" applyFill="1" applyBorder="1" applyAlignment="1" applyProtection="1">
      <alignment vertical="top"/>
      <protection locked="0"/>
    </xf>
    <xf numFmtId="43" fontId="65" fillId="26" borderId="31" xfId="0" applyNumberFormat="1" applyFont="1" applyFill="1" applyBorder="1" applyAlignment="1" applyProtection="1">
      <alignment vertical="top"/>
      <protection locked="0"/>
    </xf>
    <xf numFmtId="4" fontId="67" fillId="26" borderId="31" xfId="0" applyNumberFormat="1" applyFont="1" applyFill="1" applyBorder="1" applyAlignment="1" applyProtection="1">
      <alignment vertical="top"/>
      <protection locked="0"/>
    </xf>
    <xf numFmtId="39" fontId="67" fillId="26" borderId="31" xfId="0" applyNumberFormat="1" applyFont="1" applyFill="1" applyBorder="1" applyAlignment="1" applyProtection="1">
      <alignment vertical="top"/>
      <protection locked="0"/>
    </xf>
    <xf numFmtId="43" fontId="65" fillId="0" borderId="23" xfId="0" applyNumberFormat="1" applyFont="1" applyFill="1" applyBorder="1" applyAlignment="1" applyProtection="1">
      <alignment vertical="top"/>
      <protection locked="0"/>
    </xf>
    <xf numFmtId="39" fontId="65" fillId="0" borderId="23" xfId="0" applyNumberFormat="1" applyFont="1" applyFill="1" applyBorder="1" applyAlignment="1" applyProtection="1">
      <alignment vertical="top"/>
      <protection locked="0"/>
    </xf>
    <xf numFmtId="43" fontId="67" fillId="0" borderId="31" xfId="42" applyFont="1" applyFill="1" applyBorder="1" applyAlignment="1" applyProtection="1">
      <alignment horizontal="center" vertical="top"/>
      <protection locked="0"/>
    </xf>
    <xf numFmtId="43" fontId="65" fillId="0" borderId="31" xfId="42" applyFont="1" applyFill="1" applyBorder="1" applyAlignment="1" applyProtection="1">
      <alignment vertical="top"/>
      <protection locked="0"/>
    </xf>
    <xf numFmtId="43" fontId="65" fillId="0" borderId="31" xfId="42" applyFont="1" applyFill="1" applyBorder="1" applyAlignment="1" applyProtection="1">
      <alignment horizontal="right" vertical="top"/>
      <protection locked="0"/>
    </xf>
    <xf numFmtId="40" fontId="65" fillId="0" borderId="31" xfId="42" applyNumberFormat="1" applyFont="1" applyFill="1" applyBorder="1" applyAlignment="1" applyProtection="1">
      <alignment vertical="top" wrapText="1"/>
      <protection locked="0"/>
    </xf>
    <xf numFmtId="40" fontId="65" fillId="0" borderId="24" xfId="42" applyNumberFormat="1" applyFont="1" applyFill="1" applyBorder="1" applyAlignment="1" applyProtection="1">
      <alignment vertical="top" wrapText="1"/>
      <protection locked="0"/>
    </xf>
    <xf numFmtId="4" fontId="65" fillId="0" borderId="31" xfId="0" applyNumberFormat="1" applyFont="1" applyFill="1" applyBorder="1" applyAlignment="1" applyProtection="1">
      <alignment vertical="center"/>
      <protection locked="0"/>
    </xf>
    <xf numFmtId="40" fontId="65" fillId="0" borderId="31" xfId="42" applyNumberFormat="1" applyFont="1" applyFill="1" applyBorder="1" applyAlignment="1" applyProtection="1">
      <alignment vertical="center" wrapText="1"/>
      <protection locked="0"/>
    </xf>
    <xf numFmtId="4" fontId="65" fillId="0" borderId="31" xfId="0" applyNumberFormat="1" applyFont="1" applyFill="1" applyBorder="1" applyAlignment="1" applyProtection="1">
      <alignment horizontal="right" vertical="center" wrapText="1"/>
      <protection locked="0"/>
    </xf>
    <xf numFmtId="40" fontId="67" fillId="26" borderId="31" xfId="42" applyNumberFormat="1" applyFont="1" applyFill="1" applyBorder="1" applyAlignment="1" applyProtection="1">
      <alignment vertical="top" wrapText="1"/>
      <protection locked="0"/>
    </xf>
    <xf numFmtId="40" fontId="67" fillId="0" borderId="31" xfId="42" applyNumberFormat="1" applyFont="1" applyFill="1" applyBorder="1" applyAlignment="1" applyProtection="1">
      <alignment vertical="top" wrapText="1"/>
      <protection locked="0"/>
    </xf>
    <xf numFmtId="4" fontId="65" fillId="0" borderId="24" xfId="0" applyNumberFormat="1" applyFont="1" applyFill="1" applyBorder="1" applyAlignment="1" applyProtection="1">
      <alignment vertical="center"/>
      <protection locked="0"/>
    </xf>
    <xf numFmtId="40" fontId="65" fillId="0" borderId="24" xfId="42" applyNumberFormat="1" applyFont="1" applyFill="1" applyBorder="1" applyAlignment="1" applyProtection="1">
      <alignment vertical="center" wrapText="1"/>
      <protection locked="0"/>
    </xf>
    <xf numFmtId="4" fontId="67" fillId="26" borderId="24" xfId="0" applyNumberFormat="1" applyFont="1" applyFill="1" applyBorder="1" applyAlignment="1" applyProtection="1">
      <alignment vertical="top"/>
      <protection locked="0"/>
    </xf>
    <xf numFmtId="40" fontId="67" fillId="26" borderId="24" xfId="42" applyNumberFormat="1" applyFont="1" applyFill="1" applyBorder="1" applyAlignment="1" applyProtection="1">
      <alignment vertical="top" wrapText="1"/>
      <protection locked="0"/>
    </xf>
    <xf numFmtId="39" fontId="67" fillId="0" borderId="31" xfId="0" applyNumberFormat="1" applyFont="1" applyFill="1" applyBorder="1" applyAlignment="1" applyProtection="1">
      <alignment vertical="top"/>
      <protection locked="0"/>
    </xf>
    <xf numFmtId="4" fontId="65" fillId="0" borderId="31" xfId="70" applyNumberFormat="1" applyFont="1" applyFill="1" applyBorder="1" applyAlignment="1" applyProtection="1">
      <alignment horizontal="right" vertical="top" wrapText="1"/>
      <protection locked="0"/>
    </xf>
    <xf numFmtId="168" fontId="66" fillId="0" borderId="31" xfId="43" applyFont="1" applyFill="1" applyBorder="1" applyAlignment="1" applyProtection="1">
      <alignment horizontal="right" vertical="top" wrapText="1"/>
      <protection locked="0"/>
    </xf>
    <xf numFmtId="168" fontId="66" fillId="0" borderId="31" xfId="43" applyFont="1" applyFill="1" applyBorder="1" applyAlignment="1" applyProtection="1">
      <alignment horizontal="right" vertical="center" wrapText="1"/>
      <protection locked="0"/>
    </xf>
    <xf numFmtId="4" fontId="66" fillId="0" borderId="31" xfId="0" applyNumberFormat="1" applyFont="1" applyFill="1" applyBorder="1" applyAlignment="1" applyProtection="1">
      <alignment vertical="top"/>
      <protection locked="0"/>
    </xf>
    <xf numFmtId="39" fontId="67" fillId="0" borderId="31" xfId="0" applyNumberFormat="1" applyFont="1" applyFill="1" applyBorder="1" applyAlignment="1" applyProtection="1">
      <alignment vertical="top" wrapText="1"/>
      <protection locked="0"/>
    </xf>
    <xf numFmtId="39" fontId="67" fillId="26" borderId="31" xfId="0" applyNumberFormat="1" applyFont="1" applyFill="1" applyBorder="1" applyAlignment="1" applyProtection="1">
      <alignment vertical="top" wrapText="1"/>
      <protection locked="0"/>
    </xf>
    <xf numFmtId="4" fontId="65" fillId="26" borderId="24" xfId="0" applyNumberFormat="1" applyFont="1" applyFill="1" applyBorder="1" applyAlignment="1" applyProtection="1">
      <alignment vertical="top"/>
      <protection locked="0"/>
    </xf>
    <xf numFmtId="4" fontId="65" fillId="0" borderId="31" xfId="53" applyNumberFormat="1" applyFont="1" applyFill="1" applyBorder="1" applyAlignment="1" applyProtection="1">
      <alignment horizontal="right" vertical="top"/>
      <protection locked="0"/>
    </xf>
    <xf numFmtId="43" fontId="65" fillId="0" borderId="31" xfId="64" applyFont="1" applyFill="1" applyBorder="1" applyAlignment="1" applyProtection="1">
      <alignment horizontal="right" vertical="top" wrapText="1"/>
      <protection locked="0"/>
    </xf>
    <xf numFmtId="0" fontId="67" fillId="26" borderId="24" xfId="0" applyFont="1" applyFill="1" applyBorder="1" applyAlignment="1" applyProtection="1">
      <alignment vertical="top"/>
      <protection locked="0"/>
    </xf>
    <xf numFmtId="0" fontId="65" fillId="0" borderId="0" xfId="0" applyFont="1" applyFill="1" applyBorder="1" applyAlignment="1" applyProtection="1">
      <alignment vertical="top"/>
      <protection locked="0"/>
    </xf>
    <xf numFmtId="0" fontId="65" fillId="0" borderId="0" xfId="73" applyFont="1" applyFill="1" applyBorder="1" applyAlignment="1" applyProtection="1">
      <alignment horizontal="right" vertical="top" wrapText="1"/>
      <protection locked="0"/>
    </xf>
    <xf numFmtId="4" fontId="65" fillId="0" borderId="0" xfId="73" applyNumberFormat="1" applyFont="1" applyFill="1" applyBorder="1" applyAlignment="1" applyProtection="1">
      <alignment horizontal="center" vertical="top" wrapText="1"/>
      <protection locked="0"/>
    </xf>
    <xf numFmtId="43" fontId="65" fillId="0" borderId="0" xfId="52" applyFont="1" applyFill="1" applyBorder="1" applyAlignment="1" applyProtection="1">
      <alignment horizontal="center" vertical="top" wrapText="1"/>
      <protection locked="0"/>
    </xf>
    <xf numFmtId="0" fontId="65" fillId="0" borderId="0" xfId="73" applyFont="1" applyFill="1" applyBorder="1" applyAlignment="1" applyProtection="1">
      <alignment horizontal="left" vertical="top" wrapText="1"/>
      <protection locked="0"/>
    </xf>
    <xf numFmtId="4" fontId="65" fillId="0" borderId="0" xfId="73" applyNumberFormat="1" applyFont="1" applyFill="1" applyBorder="1" applyAlignment="1" applyProtection="1">
      <alignment horizontal="left" vertical="top" wrapText="1"/>
      <protection locked="0"/>
    </xf>
    <xf numFmtId="43" fontId="65" fillId="0" borderId="0" xfId="52" applyFont="1" applyFill="1" applyBorder="1" applyAlignment="1" applyProtection="1">
      <alignment horizontal="left" vertical="top" wrapText="1"/>
      <protection locked="0"/>
    </xf>
    <xf numFmtId="0" fontId="65" fillId="0" borderId="0" xfId="68" applyNumberFormat="1" applyFont="1" applyFill="1" applyBorder="1" applyAlignment="1" applyProtection="1">
      <alignment vertical="top"/>
      <protection locked="0"/>
    </xf>
    <xf numFmtId="0" fontId="65" fillId="0" borderId="0" xfId="68" applyNumberFormat="1" applyFont="1" applyFill="1" applyBorder="1" applyAlignment="1" applyProtection="1">
      <alignment horizontal="right" vertical="top"/>
      <protection locked="0"/>
    </xf>
    <xf numFmtId="0" fontId="65" fillId="0" borderId="0" xfId="68" applyFont="1" applyFill="1" applyBorder="1" applyAlignment="1" applyProtection="1">
      <alignment vertical="top"/>
      <protection locked="0"/>
    </xf>
    <xf numFmtId="43" fontId="65" fillId="0" borderId="0" xfId="52" applyFont="1" applyFill="1" applyBorder="1" applyAlignment="1" applyProtection="1">
      <alignment vertical="top"/>
      <protection locked="0"/>
    </xf>
    <xf numFmtId="0" fontId="68" fillId="26" borderId="11" xfId="0" applyFont="1" applyFill="1" applyBorder="1" applyAlignment="1" applyProtection="1">
      <alignment horizontal="center" vertical="center"/>
    </xf>
    <xf numFmtId="4" fontId="68" fillId="26" borderId="11" xfId="0" applyNumberFormat="1" applyFont="1" applyFill="1" applyBorder="1" applyAlignment="1" applyProtection="1">
      <alignment horizontal="center" vertical="center"/>
    </xf>
    <xf numFmtId="0" fontId="67" fillId="0" borderId="23" xfId="0" applyFont="1" applyFill="1" applyBorder="1" applyAlignment="1" applyProtection="1">
      <alignment horizontal="center" vertical="top"/>
    </xf>
    <xf numFmtId="4" fontId="67" fillId="0" borderId="23" xfId="0" applyNumberFormat="1" applyFont="1" applyFill="1" applyBorder="1" applyAlignment="1" applyProtection="1">
      <alignment horizontal="center" vertical="top"/>
    </xf>
    <xf numFmtId="0" fontId="67" fillId="0" borderId="31" xfId="0" applyFont="1" applyFill="1" applyBorder="1" applyAlignment="1" applyProtection="1">
      <alignment horizontal="center" vertical="top" wrapText="1"/>
    </xf>
    <xf numFmtId="0" fontId="67" fillId="0" borderId="31" xfId="0" applyNumberFormat="1" applyFont="1" applyFill="1" applyBorder="1" applyAlignment="1" applyProtection="1">
      <alignment vertical="top" wrapText="1"/>
    </xf>
    <xf numFmtId="4" fontId="65" fillId="0" borderId="31" xfId="0" applyNumberFormat="1" applyFont="1" applyFill="1" applyBorder="1" applyAlignment="1" applyProtection="1">
      <alignment vertical="top"/>
    </xf>
    <xf numFmtId="43" fontId="65" fillId="0" borderId="31" xfId="0" applyNumberFormat="1" applyFont="1" applyFill="1" applyBorder="1" applyAlignment="1" applyProtection="1">
      <alignment horizontal="center" vertical="top"/>
    </xf>
    <xf numFmtId="0" fontId="65" fillId="0" borderId="31" xfId="0" applyNumberFormat="1" applyFont="1" applyFill="1" applyBorder="1" applyAlignment="1" applyProtection="1">
      <alignment vertical="top" wrapText="1"/>
    </xf>
    <xf numFmtId="0" fontId="65" fillId="0" borderId="31" xfId="0" applyFont="1" applyFill="1" applyBorder="1" applyAlignment="1" applyProtection="1">
      <alignment vertical="top" wrapText="1"/>
    </xf>
    <xf numFmtId="4" fontId="65" fillId="0" borderId="31" xfId="0" applyNumberFormat="1" applyFont="1" applyFill="1" applyBorder="1" applyAlignment="1" applyProtection="1">
      <alignment horizontal="center" vertical="top"/>
    </xf>
    <xf numFmtId="0" fontId="67" fillId="0" borderId="31" xfId="0" applyFont="1" applyFill="1" applyBorder="1" applyAlignment="1" applyProtection="1">
      <alignment vertical="top" wrapText="1"/>
    </xf>
    <xf numFmtId="0" fontId="65" fillId="0" borderId="31" xfId="0" applyFont="1" applyFill="1" applyBorder="1" applyAlignment="1" applyProtection="1">
      <alignment vertical="top"/>
    </xf>
    <xf numFmtId="0" fontId="67" fillId="0" borderId="31" xfId="0" applyFont="1" applyFill="1" applyBorder="1" applyAlignment="1" applyProtection="1">
      <alignment horizontal="right" vertical="top" wrapText="1"/>
    </xf>
    <xf numFmtId="0" fontId="65" fillId="0" borderId="31" xfId="0" applyFont="1" applyFill="1" applyBorder="1" applyAlignment="1" applyProtection="1">
      <alignment horizontal="right" vertical="top" wrapText="1"/>
    </xf>
    <xf numFmtId="4" fontId="67" fillId="0" borderId="31" xfId="0" applyNumberFormat="1" applyFont="1" applyFill="1" applyBorder="1" applyAlignment="1" applyProtection="1">
      <alignment vertical="top"/>
    </xf>
    <xf numFmtId="0" fontId="65" fillId="0" borderId="24" xfId="0" applyFont="1" applyFill="1" applyBorder="1" applyAlignment="1" applyProtection="1">
      <alignment horizontal="right" vertical="top" wrapText="1"/>
    </xf>
    <xf numFmtId="0" fontId="65" fillId="0" borderId="24" xfId="0" applyNumberFormat="1" applyFont="1" applyFill="1" applyBorder="1" applyAlignment="1" applyProtection="1">
      <alignment vertical="top" wrapText="1"/>
    </xf>
    <xf numFmtId="4" fontId="65" fillId="0" borderId="24" xfId="0" applyNumberFormat="1" applyFont="1" applyFill="1" applyBorder="1" applyAlignment="1" applyProtection="1">
      <alignment vertical="top"/>
    </xf>
    <xf numFmtId="43" fontId="65" fillId="0" borderId="24" xfId="0" applyNumberFormat="1" applyFont="1" applyFill="1" applyBorder="1" applyAlignment="1" applyProtection="1">
      <alignment horizontal="center" vertical="top"/>
    </xf>
    <xf numFmtId="0" fontId="67" fillId="0" borderId="31" xfId="0" applyFont="1" applyFill="1" applyBorder="1" applyAlignment="1" applyProtection="1">
      <alignment horizontal="left" vertical="top" wrapText="1"/>
    </xf>
    <xf numFmtId="184" fontId="67" fillId="0" borderId="31" xfId="86" applyNumberFormat="1" applyFont="1" applyFill="1" applyBorder="1" applyAlignment="1" applyProtection="1">
      <alignment horizontal="right" vertical="top"/>
    </xf>
    <xf numFmtId="4" fontId="65" fillId="0" borderId="31" xfId="0" applyNumberFormat="1" applyFont="1" applyFill="1" applyBorder="1" applyAlignment="1" applyProtection="1">
      <alignment horizontal="right" vertical="top" wrapText="1"/>
    </xf>
    <xf numFmtId="4" fontId="65" fillId="0" borderId="31" xfId="0" applyNumberFormat="1" applyFont="1" applyFill="1" applyBorder="1" applyAlignment="1" applyProtection="1">
      <alignment horizontal="center" vertical="top" wrapText="1"/>
    </xf>
    <xf numFmtId="0" fontId="65" fillId="0" borderId="31" xfId="0" applyFont="1" applyFill="1" applyBorder="1" applyAlignment="1" applyProtection="1">
      <alignment horizontal="right" vertical="top"/>
    </xf>
    <xf numFmtId="169" fontId="65" fillId="0" borderId="31" xfId="0" applyNumberFormat="1" applyFont="1" applyFill="1" applyBorder="1" applyAlignment="1" applyProtection="1">
      <alignment horizontal="right" vertical="top" wrapText="1"/>
    </xf>
    <xf numFmtId="169" fontId="65" fillId="0" borderId="31" xfId="0" applyNumberFormat="1" applyFont="1" applyFill="1" applyBorder="1" applyAlignment="1" applyProtection="1">
      <alignment horizontal="center" vertical="top" wrapText="1"/>
    </xf>
    <xf numFmtId="169" fontId="65" fillId="0" borderId="31" xfId="0" applyNumberFormat="1" applyFont="1" applyFill="1" applyBorder="1" applyAlignment="1" applyProtection="1">
      <alignment horizontal="right" vertical="top"/>
    </xf>
    <xf numFmtId="169" fontId="65" fillId="0" borderId="31" xfId="0" applyNumberFormat="1" applyFont="1" applyFill="1" applyBorder="1" applyAlignment="1" applyProtection="1">
      <alignment horizontal="center" vertical="top"/>
    </xf>
    <xf numFmtId="0" fontId="67" fillId="26" borderId="31" xfId="0" applyFont="1" applyFill="1" applyBorder="1" applyAlignment="1" applyProtection="1">
      <alignment horizontal="center" vertical="top" wrapText="1"/>
    </xf>
    <xf numFmtId="0" fontId="67" fillId="26" borderId="31" xfId="0" applyFont="1" applyFill="1" applyBorder="1" applyAlignment="1" applyProtection="1">
      <alignment horizontal="center" vertical="top"/>
    </xf>
    <xf numFmtId="4" fontId="65" fillId="26" borderId="31" xfId="0" applyNumberFormat="1" applyFont="1" applyFill="1" applyBorder="1" applyAlignment="1" applyProtection="1">
      <alignment vertical="top"/>
    </xf>
    <xf numFmtId="43" fontId="65" fillId="26" borderId="31" xfId="0" applyNumberFormat="1" applyFont="1" applyFill="1" applyBorder="1" applyAlignment="1" applyProtection="1">
      <alignment horizontal="center" vertical="top"/>
    </xf>
    <xf numFmtId="176" fontId="65" fillId="0" borderId="24" xfId="0" applyNumberFormat="1" applyFont="1" applyFill="1" applyBorder="1" applyAlignment="1" applyProtection="1">
      <alignment vertical="top" wrapText="1"/>
    </xf>
    <xf numFmtId="4" fontId="65" fillId="0" borderId="24" xfId="0" applyNumberFormat="1" applyFont="1" applyFill="1" applyBorder="1" applyAlignment="1" applyProtection="1">
      <alignment vertical="top" wrapText="1"/>
    </xf>
    <xf numFmtId="176" fontId="65" fillId="0" borderId="31" xfId="0" applyNumberFormat="1" applyFont="1" applyFill="1" applyBorder="1" applyAlignment="1" applyProtection="1">
      <alignment vertical="top" wrapText="1"/>
    </xf>
    <xf numFmtId="2" fontId="65" fillId="0" borderId="31" xfId="0" applyNumberFormat="1" applyFont="1" applyFill="1" applyBorder="1" applyAlignment="1" applyProtection="1">
      <alignment vertical="top" wrapText="1"/>
    </xf>
    <xf numFmtId="0" fontId="65" fillId="0" borderId="31" xfId="0" applyFont="1" applyFill="1" applyBorder="1" applyAlignment="1" applyProtection="1">
      <alignment horizontal="left" vertical="top"/>
    </xf>
    <xf numFmtId="0" fontId="67" fillId="0" borderId="31" xfId="0" applyFont="1" applyFill="1" applyBorder="1" applyAlignment="1" applyProtection="1">
      <alignment horizontal="left" vertical="top"/>
    </xf>
    <xf numFmtId="0" fontId="65" fillId="0" borderId="31" xfId="0" applyFont="1" applyFill="1" applyBorder="1" applyAlignment="1" applyProtection="1">
      <alignment horizontal="left" vertical="top" wrapText="1"/>
    </xf>
    <xf numFmtId="0" fontId="67" fillId="0" borderId="23" xfId="0" applyFont="1" applyFill="1" applyBorder="1" applyAlignment="1" applyProtection="1">
      <alignment horizontal="center" vertical="top" wrapText="1"/>
    </xf>
    <xf numFmtId="0" fontId="65" fillId="0" borderId="23" xfId="0" applyNumberFormat="1" applyFont="1" applyFill="1" applyBorder="1" applyAlignment="1" applyProtection="1">
      <alignment vertical="top" wrapText="1"/>
    </xf>
    <xf numFmtId="4" fontId="65" fillId="0" borderId="23" xfId="0" applyNumberFormat="1" applyFont="1" applyFill="1" applyBorder="1" applyAlignment="1" applyProtection="1">
      <alignment vertical="top"/>
    </xf>
    <xf numFmtId="43" fontId="65" fillId="0" borderId="23" xfId="0" applyNumberFormat="1" applyFont="1" applyFill="1" applyBorder="1" applyAlignment="1" applyProtection="1">
      <alignment horizontal="center" vertical="top"/>
    </xf>
    <xf numFmtId="0" fontId="67" fillId="0" borderId="31" xfId="0" applyFont="1" applyFill="1" applyBorder="1" applyAlignment="1" applyProtection="1">
      <alignment horizontal="center" vertical="top"/>
    </xf>
    <xf numFmtId="43" fontId="65" fillId="0" borderId="31" xfId="42" applyFont="1" applyFill="1" applyBorder="1" applyAlignment="1" applyProtection="1">
      <alignment vertical="top"/>
    </xf>
    <xf numFmtId="43" fontId="65" fillId="0" borderId="31" xfId="42" applyFont="1" applyFill="1" applyBorder="1" applyAlignment="1" applyProtection="1">
      <alignment horizontal="right" vertical="top" wrapText="1"/>
    </xf>
    <xf numFmtId="0" fontId="65" fillId="0" borderId="24" xfId="0" applyFont="1" applyFill="1" applyBorder="1" applyAlignment="1" applyProtection="1">
      <alignment vertical="top" wrapText="1"/>
    </xf>
    <xf numFmtId="43" fontId="65" fillId="0" borderId="24" xfId="42" applyFont="1" applyFill="1" applyBorder="1" applyAlignment="1" applyProtection="1">
      <alignment horizontal="right" vertical="top" wrapText="1"/>
    </xf>
    <xf numFmtId="4" fontId="65" fillId="0" borderId="24" xfId="0" applyNumberFormat="1" applyFont="1" applyFill="1" applyBorder="1" applyAlignment="1" applyProtection="1">
      <alignment horizontal="center" vertical="top"/>
    </xf>
    <xf numFmtId="43" fontId="67" fillId="0" borderId="31" xfId="42" applyFont="1" applyFill="1" applyBorder="1" applyAlignment="1" applyProtection="1">
      <alignment vertical="top"/>
    </xf>
    <xf numFmtId="169" fontId="67" fillId="0" borderId="31" xfId="0" applyNumberFormat="1" applyFont="1" applyFill="1" applyBorder="1" applyAlignment="1" applyProtection="1">
      <alignment horizontal="center" vertical="top"/>
    </xf>
    <xf numFmtId="0" fontId="65" fillId="22" borderId="31" xfId="0" applyFont="1" applyFill="1" applyBorder="1" applyAlignment="1" applyProtection="1">
      <alignment horizontal="right" vertical="top" wrapText="1"/>
    </xf>
    <xf numFmtId="0" fontId="65" fillId="0" borderId="0" xfId="0" applyFont="1" applyAlignment="1" applyProtection="1">
      <alignment vertical="center"/>
    </xf>
    <xf numFmtId="0" fontId="67" fillId="22" borderId="31" xfId="0" applyFont="1" applyFill="1" applyBorder="1" applyAlignment="1" applyProtection="1">
      <alignment horizontal="right" vertical="top" wrapText="1"/>
    </xf>
    <xf numFmtId="0" fontId="67" fillId="28" borderId="31" xfId="0" applyFont="1" applyFill="1" applyBorder="1" applyAlignment="1" applyProtection="1">
      <alignment vertical="top" wrapText="1"/>
    </xf>
    <xf numFmtId="0" fontId="65" fillId="0" borderId="0" xfId="0" applyFont="1" applyAlignment="1" applyProtection="1">
      <alignment vertical="center" wrapText="1"/>
    </xf>
    <xf numFmtId="43" fontId="65" fillId="0" borderId="31" xfId="42" applyFont="1" applyFill="1" applyBorder="1" applyAlignment="1" applyProtection="1">
      <alignment horizontal="right" vertical="center" wrapText="1"/>
    </xf>
    <xf numFmtId="169" fontId="65" fillId="0" borderId="31" xfId="0" applyNumberFormat="1" applyFont="1" applyFill="1" applyBorder="1" applyAlignment="1" applyProtection="1">
      <alignment horizontal="center" vertical="center"/>
    </xf>
    <xf numFmtId="0" fontId="65" fillId="0" borderId="24" xfId="0" applyFont="1" applyFill="1" applyBorder="1" applyAlignment="1" applyProtection="1">
      <alignment horizontal="left" vertical="top" wrapText="1"/>
    </xf>
    <xf numFmtId="169" fontId="65" fillId="0" borderId="24" xfId="0" applyNumberFormat="1" applyFont="1" applyFill="1" applyBorder="1" applyAlignment="1" applyProtection="1">
      <alignment horizontal="center" vertical="top"/>
    </xf>
    <xf numFmtId="0" fontId="65" fillId="26" borderId="31" xfId="0" applyFont="1" applyFill="1" applyBorder="1" applyAlignment="1" applyProtection="1">
      <alignment horizontal="right" vertical="top" wrapText="1"/>
    </xf>
    <xf numFmtId="43" fontId="65" fillId="26" borderId="31" xfId="42" applyFont="1" applyFill="1" applyBorder="1" applyAlignment="1" applyProtection="1">
      <alignment horizontal="right" vertical="top" wrapText="1"/>
    </xf>
    <xf numFmtId="169" fontId="65" fillId="26" borderId="31" xfId="0" applyNumberFormat="1" applyFont="1" applyFill="1" applyBorder="1" applyAlignment="1" applyProtection="1">
      <alignment horizontal="center" vertical="top"/>
    </xf>
    <xf numFmtId="0" fontId="67" fillId="26" borderId="31" xfId="0" applyFont="1" applyFill="1" applyBorder="1" applyAlignment="1" applyProtection="1">
      <alignment horizontal="right" vertical="top" wrapText="1"/>
    </xf>
    <xf numFmtId="43" fontId="67" fillId="26" borderId="31" xfId="42" applyFont="1" applyFill="1" applyBorder="1" applyAlignment="1" applyProtection="1">
      <alignment horizontal="right" vertical="top" wrapText="1"/>
    </xf>
    <xf numFmtId="169" fontId="67" fillId="26" borderId="31" xfId="0" applyNumberFormat="1" applyFont="1" applyFill="1" applyBorder="1" applyAlignment="1" applyProtection="1">
      <alignment horizontal="center" vertical="top"/>
    </xf>
    <xf numFmtId="43" fontId="67" fillId="0" borderId="31" xfId="42" applyFont="1" applyFill="1" applyBorder="1" applyAlignment="1" applyProtection="1">
      <alignment horizontal="right" vertical="top" wrapText="1"/>
    </xf>
    <xf numFmtId="43" fontId="65" fillId="0" borderId="24" xfId="42" applyFont="1" applyFill="1" applyBorder="1" applyAlignment="1" applyProtection="1">
      <alignment horizontal="right" vertical="center" wrapText="1"/>
    </xf>
    <xf numFmtId="169" fontId="65" fillId="0" borderId="24" xfId="0" applyNumberFormat="1" applyFont="1" applyFill="1" applyBorder="1" applyAlignment="1" applyProtection="1">
      <alignment horizontal="center" vertical="center"/>
    </xf>
    <xf numFmtId="2" fontId="65" fillId="0" borderId="31" xfId="0" applyNumberFormat="1" applyFont="1" applyFill="1" applyBorder="1" applyAlignment="1" applyProtection="1">
      <alignment horizontal="right" vertical="top" wrapText="1"/>
    </xf>
    <xf numFmtId="0" fontId="67" fillId="26" borderId="24" xfId="0" applyFont="1" applyFill="1" applyBorder="1" applyAlignment="1" applyProtection="1">
      <alignment horizontal="right" vertical="top" wrapText="1"/>
    </xf>
    <xf numFmtId="0" fontId="67" fillId="26" borderId="24" xfId="0" applyFont="1" applyFill="1" applyBorder="1" applyAlignment="1" applyProtection="1">
      <alignment horizontal="center" vertical="top" wrapText="1"/>
    </xf>
    <xf numFmtId="43" fontId="67" fillId="26" borderId="24" xfId="42" applyFont="1" applyFill="1" applyBorder="1" applyAlignment="1" applyProtection="1">
      <alignment horizontal="right" vertical="top" wrapText="1"/>
    </xf>
    <xf numFmtId="169" fontId="67" fillId="26" borderId="24" xfId="0" applyNumberFormat="1" applyFont="1" applyFill="1" applyBorder="1" applyAlignment="1" applyProtection="1">
      <alignment horizontal="center" vertical="top"/>
    </xf>
    <xf numFmtId="4" fontId="67" fillId="0" borderId="31" xfId="0" applyNumberFormat="1" applyFont="1" applyFill="1" applyBorder="1" applyAlignment="1" applyProtection="1">
      <alignment horizontal="center" vertical="top"/>
    </xf>
    <xf numFmtId="1" fontId="67" fillId="22" borderId="31" xfId="0" applyNumberFormat="1" applyFont="1" applyFill="1" applyBorder="1" applyAlignment="1" applyProtection="1">
      <alignment horizontal="right" vertical="top" wrapText="1"/>
    </xf>
    <xf numFmtId="0" fontId="66" fillId="0" borderId="31" xfId="0" applyFont="1" applyFill="1" applyBorder="1" applyAlignment="1" applyProtection="1">
      <alignment horizontal="left" vertical="top"/>
    </xf>
    <xf numFmtId="4" fontId="66" fillId="0" borderId="31" xfId="0" applyNumberFormat="1" applyFont="1" applyFill="1" applyBorder="1" applyAlignment="1" applyProtection="1">
      <alignment vertical="top" wrapText="1"/>
    </xf>
    <xf numFmtId="2" fontId="65" fillId="22" borderId="31" xfId="0" applyNumberFormat="1" applyFont="1" applyFill="1" applyBorder="1" applyAlignment="1" applyProtection="1">
      <alignment horizontal="right" vertical="top" wrapText="1"/>
    </xf>
    <xf numFmtId="0" fontId="66" fillId="0" borderId="0" xfId="0" applyFont="1" applyFill="1" applyProtection="1"/>
    <xf numFmtId="0" fontId="66" fillId="0" borderId="31" xfId="0" applyFont="1" applyFill="1" applyBorder="1" applyAlignment="1" applyProtection="1">
      <alignment vertical="top" wrapText="1"/>
    </xf>
    <xf numFmtId="0" fontId="65" fillId="22" borderId="24" xfId="0" applyFont="1" applyFill="1" applyBorder="1" applyAlignment="1" applyProtection="1">
      <alignment horizontal="right" vertical="top" wrapText="1"/>
    </xf>
    <xf numFmtId="0" fontId="66" fillId="0" borderId="24" xfId="0" applyFont="1" applyFill="1" applyBorder="1" applyAlignment="1" applyProtection="1">
      <alignment vertical="top" wrapText="1"/>
    </xf>
    <xf numFmtId="4" fontId="65" fillId="0" borderId="24" xfId="0" applyNumberFormat="1" applyFont="1" applyFill="1" applyBorder="1" applyAlignment="1" applyProtection="1">
      <alignment horizontal="center" vertical="center"/>
    </xf>
    <xf numFmtId="0" fontId="68" fillId="0" borderId="31" xfId="0" quotePrefix="1" applyFont="1" applyFill="1" applyBorder="1" applyAlignment="1" applyProtection="1">
      <alignment horizontal="left" vertical="top"/>
    </xf>
    <xf numFmtId="0" fontId="66" fillId="0" borderId="31" xfId="0" applyFont="1" applyFill="1" applyBorder="1" applyAlignment="1" applyProtection="1">
      <alignment horizontal="center" vertical="top"/>
    </xf>
    <xf numFmtId="0" fontId="66" fillId="0" borderId="31" xfId="0" applyFont="1" applyFill="1" applyBorder="1" applyAlignment="1" applyProtection="1">
      <alignment horizontal="left" vertical="top" wrapText="1"/>
    </xf>
    <xf numFmtId="4" fontId="66" fillId="0" borderId="31" xfId="0" applyNumberFormat="1" applyFont="1" applyFill="1" applyBorder="1" applyAlignment="1" applyProtection="1">
      <alignment vertical="center" wrapText="1"/>
    </xf>
    <xf numFmtId="0" fontId="66" fillId="0" borderId="31" xfId="0" applyFont="1" applyFill="1" applyBorder="1" applyAlignment="1" applyProtection="1">
      <alignment horizontal="center" vertical="center"/>
    </xf>
    <xf numFmtId="176" fontId="65" fillId="22" borderId="31" xfId="0" applyNumberFormat="1" applyFont="1" applyFill="1" applyBorder="1" applyAlignment="1" applyProtection="1">
      <alignment horizontal="right" vertical="top" wrapText="1"/>
    </xf>
    <xf numFmtId="4" fontId="66" fillId="0" borderId="31" xfId="0" applyNumberFormat="1" applyFont="1" applyFill="1" applyBorder="1" applyAlignment="1" applyProtection="1">
      <alignment horizontal="right" vertical="top"/>
    </xf>
    <xf numFmtId="4" fontId="66" fillId="0" borderId="31" xfId="0" applyNumberFormat="1" applyFont="1" applyFill="1" applyBorder="1" applyAlignment="1" applyProtection="1">
      <alignment horizontal="center" vertical="top"/>
    </xf>
    <xf numFmtId="4" fontId="65" fillId="26" borderId="31" xfId="0" applyNumberFormat="1" applyFont="1" applyFill="1" applyBorder="1" applyAlignment="1" applyProtection="1">
      <alignment horizontal="center" vertical="top"/>
    </xf>
    <xf numFmtId="39" fontId="67" fillId="0" borderId="31" xfId="0" applyNumberFormat="1" applyFont="1" applyFill="1" applyBorder="1" applyAlignment="1" applyProtection="1">
      <alignment horizontal="center" vertical="top" wrapText="1"/>
    </xf>
    <xf numFmtId="49" fontId="67" fillId="0" borderId="31" xfId="0" applyNumberFormat="1" applyFont="1" applyFill="1" applyBorder="1" applyAlignment="1" applyProtection="1">
      <alignment horizontal="left" vertical="top" wrapText="1"/>
    </xf>
    <xf numFmtId="37" fontId="65" fillId="0" borderId="31" xfId="0" applyNumberFormat="1" applyFont="1" applyFill="1" applyBorder="1" applyAlignment="1" applyProtection="1">
      <alignment horizontal="right" vertical="top" wrapText="1"/>
    </xf>
    <xf numFmtId="1" fontId="65" fillId="0" borderId="31" xfId="0" applyNumberFormat="1" applyFont="1" applyFill="1" applyBorder="1" applyAlignment="1" applyProtection="1">
      <alignment horizontal="right" vertical="top"/>
    </xf>
    <xf numFmtId="39" fontId="65" fillId="26" borderId="31" xfId="0" applyNumberFormat="1" applyFont="1" applyFill="1" applyBorder="1" applyAlignment="1" applyProtection="1">
      <alignment vertical="top" wrapText="1"/>
    </xf>
    <xf numFmtId="49" fontId="67" fillId="26" borderId="31" xfId="0" applyNumberFormat="1" applyFont="1" applyFill="1" applyBorder="1" applyAlignment="1" applyProtection="1">
      <alignment horizontal="center" vertical="top" wrapText="1"/>
    </xf>
    <xf numFmtId="169" fontId="65" fillId="26" borderId="31" xfId="0" applyNumberFormat="1" applyFont="1" applyFill="1" applyBorder="1" applyAlignment="1" applyProtection="1">
      <alignment horizontal="center" vertical="top" wrapText="1"/>
    </xf>
    <xf numFmtId="49" fontId="67" fillId="0" borderId="31" xfId="0" applyNumberFormat="1" applyFont="1" applyFill="1" applyBorder="1" applyAlignment="1" applyProtection="1">
      <alignment horizontal="center" vertical="top" wrapText="1"/>
    </xf>
    <xf numFmtId="0" fontId="65" fillId="26" borderId="24" xfId="0" applyFont="1" applyFill="1" applyBorder="1" applyAlignment="1" applyProtection="1">
      <alignment horizontal="center" vertical="top"/>
    </xf>
    <xf numFmtId="0" fontId="67" fillId="26" borderId="24" xfId="0" applyFont="1" applyFill="1" applyBorder="1" applyAlignment="1" applyProtection="1">
      <alignment horizontal="center" vertical="top"/>
    </xf>
    <xf numFmtId="4" fontId="65" fillId="26" borderId="24" xfId="0" applyNumberFormat="1" applyFont="1" applyFill="1" applyBorder="1" applyAlignment="1" applyProtection="1">
      <alignment vertical="top"/>
    </xf>
    <xf numFmtId="4" fontId="65" fillId="26" borderId="24" xfId="0" applyNumberFormat="1" applyFont="1" applyFill="1" applyBorder="1" applyAlignment="1" applyProtection="1">
      <alignment horizontal="center" vertical="top"/>
    </xf>
    <xf numFmtId="0" fontId="65" fillId="26" borderId="31" xfId="0" applyFont="1" applyFill="1" applyBorder="1" applyAlignment="1" applyProtection="1">
      <alignment horizontal="center" vertical="top"/>
    </xf>
    <xf numFmtId="0" fontId="65" fillId="0" borderId="31" xfId="0" applyFont="1" applyFill="1" applyBorder="1" applyAlignment="1" applyProtection="1">
      <alignment horizontal="center" vertical="top"/>
    </xf>
    <xf numFmtId="0" fontId="67" fillId="0" borderId="31" xfId="0" applyFont="1" applyFill="1" applyBorder="1" applyAlignment="1" applyProtection="1">
      <alignment horizontal="right" vertical="top"/>
    </xf>
    <xf numFmtId="171" fontId="65" fillId="0" borderId="31" xfId="0" applyNumberFormat="1" applyFont="1" applyFill="1" applyBorder="1" applyAlignment="1" applyProtection="1">
      <alignment vertical="top"/>
    </xf>
    <xf numFmtId="171" fontId="65" fillId="0" borderId="31" xfId="100" applyNumberFormat="1" applyFont="1" applyFill="1" applyBorder="1" applyAlignment="1" applyProtection="1">
      <alignment vertical="top"/>
    </xf>
    <xf numFmtId="10" fontId="65" fillId="0" borderId="31" xfId="100" applyNumberFormat="1" applyFont="1" applyFill="1" applyBorder="1" applyAlignment="1" applyProtection="1">
      <alignment vertical="top"/>
    </xf>
    <xf numFmtId="10" fontId="65" fillId="0" borderId="31" xfId="100" applyNumberFormat="1" applyFont="1" applyFill="1" applyBorder="1" applyAlignment="1" applyProtection="1">
      <alignment horizontal="center" vertical="top"/>
    </xf>
    <xf numFmtId="189" fontId="65" fillId="0" borderId="31" xfId="0" applyNumberFormat="1" applyFont="1" applyFill="1" applyBorder="1" applyAlignment="1" applyProtection="1">
      <alignment horizontal="right" vertical="top" wrapText="1"/>
    </xf>
    <xf numFmtId="191" fontId="65" fillId="0" borderId="31" xfId="0" applyNumberFormat="1" applyFont="1" applyFill="1" applyBorder="1" applyAlignment="1" applyProtection="1">
      <alignment horizontal="center" vertical="top"/>
    </xf>
    <xf numFmtId="0" fontId="67" fillId="26" borderId="31" xfId="0" applyFont="1" applyFill="1" applyBorder="1" applyAlignment="1" applyProtection="1">
      <alignment horizontal="right" vertical="top"/>
    </xf>
    <xf numFmtId="0" fontId="67" fillId="26" borderId="31" xfId="0" applyFont="1" applyFill="1" applyBorder="1" applyAlignment="1" applyProtection="1">
      <alignment vertical="top"/>
    </xf>
    <xf numFmtId="171" fontId="67" fillId="26" borderId="31" xfId="0" applyNumberFormat="1" applyFont="1" applyFill="1" applyBorder="1" applyAlignment="1" applyProtection="1">
      <alignment vertical="top"/>
    </xf>
    <xf numFmtId="0" fontId="67" fillId="0" borderId="31" xfId="0" applyFont="1" applyFill="1" applyBorder="1" applyAlignment="1" applyProtection="1">
      <alignment vertical="top"/>
    </xf>
    <xf numFmtId="171" fontId="67" fillId="0" borderId="31" xfId="0" applyNumberFormat="1" applyFont="1" applyFill="1" applyBorder="1" applyAlignment="1" applyProtection="1">
      <alignment vertical="top"/>
    </xf>
    <xf numFmtId="0" fontId="65" fillId="26" borderId="24" xfId="0" applyFont="1" applyFill="1" applyBorder="1" applyAlignment="1" applyProtection="1">
      <alignment vertical="top"/>
    </xf>
    <xf numFmtId="0" fontId="67" fillId="26" borderId="24" xfId="0" applyFont="1" applyFill="1" applyBorder="1" applyAlignment="1" applyProtection="1">
      <alignment horizontal="right" vertical="top"/>
    </xf>
    <xf numFmtId="0" fontId="67" fillId="26" borderId="24" xfId="0" applyFont="1" applyFill="1" applyBorder="1" applyAlignment="1" applyProtection="1">
      <alignment vertical="top"/>
    </xf>
    <xf numFmtId="0" fontId="34" fillId="21" borderId="38" xfId="88" applyFont="1" applyFill="1" applyBorder="1" applyAlignment="1">
      <alignment horizontal="center" vertical="top" wrapText="1"/>
    </xf>
    <xf numFmtId="0" fontId="7" fillId="21" borderId="30" xfId="88" applyFont="1" applyFill="1" applyBorder="1" applyAlignment="1">
      <alignment horizontal="left" vertical="top" wrapText="1"/>
    </xf>
    <xf numFmtId="0" fontId="10" fillId="17" borderId="11" xfId="88" applyFont="1" applyFill="1" applyBorder="1" applyAlignment="1">
      <alignment horizontal="center"/>
    </xf>
    <xf numFmtId="0" fontId="65" fillId="0" borderId="0" xfId="0" applyFont="1" applyFill="1" applyBorder="1" applyAlignment="1">
      <alignment horizontal="justify" vertical="top" wrapText="1"/>
    </xf>
    <xf numFmtId="0" fontId="65" fillId="0" borderId="0" xfId="0" applyFont="1" applyFill="1" applyBorder="1" applyAlignment="1">
      <alignment horizontal="center" vertical="top"/>
    </xf>
    <xf numFmtId="0" fontId="65" fillId="0" borderId="0" xfId="0" applyFont="1" applyFill="1" applyBorder="1" applyAlignment="1" applyProtection="1">
      <alignment horizontal="center" vertical="top"/>
      <protection locked="0"/>
    </xf>
    <xf numFmtId="0" fontId="65" fillId="0" borderId="0" xfId="73" applyFont="1" applyFill="1" applyBorder="1" applyAlignment="1" applyProtection="1">
      <alignment horizontal="center" vertical="top" wrapText="1"/>
      <protection locked="0"/>
    </xf>
    <xf numFmtId="0" fontId="67" fillId="0" borderId="0" xfId="0" applyFont="1" applyFill="1" applyBorder="1" applyAlignment="1">
      <alignment horizontal="center" vertical="top"/>
    </xf>
    <xf numFmtId="0" fontId="67" fillId="0" borderId="0" xfId="68" applyFont="1" applyFill="1" applyBorder="1" applyAlignment="1">
      <alignment horizontal="center" vertical="top"/>
    </xf>
    <xf numFmtId="176" fontId="6" fillId="17" borderId="0" xfId="88" applyNumberFormat="1" applyFont="1" applyFill="1" applyBorder="1"/>
    <xf numFmtId="0" fontId="6" fillId="17" borderId="0" xfId="88" applyFont="1" applyFill="1" applyBorder="1"/>
    <xf numFmtId="39" fontId="6" fillId="17" borderId="0" xfId="88" applyNumberFormat="1" applyFont="1" applyFill="1" applyBorder="1"/>
    <xf numFmtId="168" fontId="6" fillId="17" borderId="0" xfId="41" applyFont="1" applyFill="1" applyBorder="1"/>
    <xf numFmtId="176" fontId="6" fillId="17" borderId="0" xfId="88" quotePrefix="1" applyNumberFormat="1" applyFont="1" applyFill="1" applyBorder="1" applyAlignment="1">
      <alignment horizontal="left"/>
    </xf>
    <xf numFmtId="168" fontId="6" fillId="17" borderId="0" xfId="41" applyFont="1" applyFill="1" applyBorder="1" applyAlignment="1">
      <alignment horizontal="right"/>
    </xf>
    <xf numFmtId="0" fontId="7" fillId="24" borderId="0" xfId="0" quotePrefix="1" applyFont="1" applyFill="1" applyAlignment="1">
      <alignment horizontal="left"/>
    </xf>
    <xf numFmtId="0" fontId="14" fillId="19" borderId="0" xfId="88" applyFont="1" applyFill="1" applyAlignment="1">
      <alignment horizontal="center"/>
    </xf>
    <xf numFmtId="0" fontId="14" fillId="21" borderId="29" xfId="88" applyFont="1" applyFill="1" applyBorder="1" applyAlignment="1">
      <alignment horizontal="center"/>
    </xf>
    <xf numFmtId="0" fontId="14" fillId="21" borderId="36" xfId="88" applyFont="1" applyFill="1" applyBorder="1" applyAlignment="1">
      <alignment horizontal="center"/>
    </xf>
    <xf numFmtId="0" fontId="14" fillId="21" borderId="35" xfId="88" applyFont="1" applyFill="1" applyBorder="1" applyAlignment="1">
      <alignment horizontal="center"/>
    </xf>
    <xf numFmtId="0" fontId="35" fillId="21" borderId="30" xfId="88" applyFont="1" applyFill="1" applyBorder="1" applyAlignment="1">
      <alignment horizontal="center" vertical="top" wrapText="1"/>
    </xf>
    <xf numFmtId="0" fontId="35" fillId="21" borderId="0" xfId="88" applyFont="1" applyFill="1" applyBorder="1" applyAlignment="1">
      <alignment horizontal="center" vertical="top" wrapText="1"/>
    </xf>
    <xf numFmtId="0" fontId="35" fillId="21" borderId="38" xfId="88" applyFont="1" applyFill="1" applyBorder="1" applyAlignment="1">
      <alignment horizontal="center" vertical="top" wrapText="1"/>
    </xf>
    <xf numFmtId="0" fontId="34" fillId="21" borderId="30" xfId="88" applyFont="1" applyFill="1" applyBorder="1" applyAlignment="1">
      <alignment horizontal="center" vertical="top" wrapText="1"/>
    </xf>
    <xf numFmtId="0" fontId="34" fillId="21" borderId="0" xfId="88" applyFont="1" applyFill="1" applyBorder="1" applyAlignment="1">
      <alignment horizontal="center" vertical="top" wrapText="1"/>
    </xf>
    <xf numFmtId="0" fontId="34" fillId="21" borderId="38" xfId="88" applyFont="1" applyFill="1" applyBorder="1" applyAlignment="1">
      <alignment horizontal="center" vertical="top" wrapText="1"/>
    </xf>
    <xf numFmtId="0" fontId="7" fillId="21" borderId="30" xfId="88" applyFont="1" applyFill="1" applyBorder="1" applyAlignment="1">
      <alignment horizontal="left" vertical="top" wrapText="1"/>
    </xf>
    <xf numFmtId="0" fontId="7" fillId="21" borderId="0" xfId="88" applyFont="1" applyFill="1" applyBorder="1" applyAlignment="1">
      <alignment horizontal="left" vertical="top" wrapText="1"/>
    </xf>
    <xf numFmtId="183" fontId="7" fillId="24" borderId="51" xfId="58" quotePrefix="1" applyNumberFormat="1" applyFont="1" applyFill="1" applyBorder="1" applyAlignment="1">
      <alignment horizontal="right"/>
    </xf>
    <xf numFmtId="183" fontId="7" fillId="24" borderId="43" xfId="58" quotePrefix="1" applyNumberFormat="1" applyFont="1" applyFill="1" applyBorder="1" applyAlignment="1">
      <alignment horizontal="right"/>
    </xf>
    <xf numFmtId="183" fontId="7" fillId="24" borderId="56" xfId="58" quotePrefix="1" applyNumberFormat="1" applyFont="1" applyFill="1" applyBorder="1" applyAlignment="1">
      <alignment horizontal="right"/>
    </xf>
    <xf numFmtId="183" fontId="7" fillId="24" borderId="45" xfId="58" quotePrefix="1" applyNumberFormat="1" applyFont="1" applyFill="1" applyBorder="1" applyAlignment="1">
      <alignment horizontal="right"/>
    </xf>
    <xf numFmtId="0" fontId="7" fillId="24" borderId="56" xfId="88" applyFont="1" applyFill="1" applyBorder="1" applyAlignment="1">
      <alignment horizontal="right"/>
    </xf>
    <xf numFmtId="0" fontId="7" fillId="24" borderId="45" xfId="88" applyFont="1" applyFill="1" applyBorder="1" applyAlignment="1">
      <alignment horizontal="right"/>
    </xf>
    <xf numFmtId="0" fontId="7" fillId="24" borderId="36" xfId="88" applyFont="1" applyFill="1" applyBorder="1" applyAlignment="1">
      <alignment horizontal="right"/>
    </xf>
    <xf numFmtId="0" fontId="13" fillId="16" borderId="12" xfId="0" applyFont="1" applyFill="1" applyBorder="1" applyAlignment="1">
      <alignment horizontal="center"/>
    </xf>
    <xf numFmtId="0" fontId="7" fillId="17" borderId="0" xfId="84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4" fillId="19" borderId="0" xfId="88" applyFont="1" applyFill="1" applyAlignment="1">
      <alignment horizontal="center"/>
    </xf>
    <xf numFmtId="0" fontId="17" fillId="17" borderId="5" xfId="0" applyFont="1" applyFill="1" applyBorder="1" applyAlignment="1">
      <alignment horizontal="left"/>
    </xf>
    <xf numFmtId="4" fontId="7" fillId="17" borderId="11" xfId="0" applyNumberFormat="1" applyFont="1" applyFill="1" applyBorder="1" applyAlignment="1">
      <alignment horizontal="right"/>
    </xf>
    <xf numFmtId="4" fontId="7" fillId="22" borderId="12" xfId="0" applyNumberFormat="1" applyFont="1" applyFill="1" applyBorder="1" applyAlignment="1">
      <alignment horizontal="right"/>
    </xf>
    <xf numFmtId="0" fontId="10" fillId="27" borderId="0" xfId="88" applyFont="1" applyFill="1" applyAlignment="1">
      <alignment horizontal="center" vertical="top"/>
    </xf>
    <xf numFmtId="0" fontId="13" fillId="26" borderId="0" xfId="88" applyFont="1" applyFill="1" applyAlignment="1">
      <alignment horizontal="center"/>
    </xf>
    <xf numFmtId="0" fontId="13" fillId="26" borderId="5" xfId="88" applyFont="1" applyFill="1" applyBorder="1" applyAlignment="1">
      <alignment horizontal="center" vertical="top"/>
    </xf>
    <xf numFmtId="0" fontId="13" fillId="26" borderId="0" xfId="88" applyFont="1" applyFill="1" applyBorder="1" applyAlignment="1">
      <alignment horizontal="center" vertical="top"/>
    </xf>
    <xf numFmtId="0" fontId="7" fillId="27" borderId="0" xfId="88" applyFont="1" applyFill="1" applyBorder="1" applyAlignment="1">
      <alignment horizontal="center"/>
    </xf>
    <xf numFmtId="0" fontId="10" fillId="17" borderId="11" xfId="88" applyFont="1" applyFill="1" applyBorder="1" applyAlignment="1">
      <alignment horizontal="center"/>
    </xf>
    <xf numFmtId="0" fontId="64" fillId="26" borderId="0" xfId="88" applyFont="1" applyFill="1" applyBorder="1" applyAlignment="1">
      <alignment horizontal="center"/>
    </xf>
    <xf numFmtId="0" fontId="13" fillId="27" borderId="0" xfId="88" applyFont="1" applyFill="1" applyAlignment="1">
      <alignment horizontal="center"/>
    </xf>
    <xf numFmtId="0" fontId="13" fillId="27" borderId="0" xfId="88" quotePrefix="1" applyFont="1" applyFill="1" applyAlignment="1">
      <alignment horizontal="center"/>
    </xf>
    <xf numFmtId="0" fontId="65" fillId="0" borderId="0" xfId="0" applyFont="1" applyFill="1" applyBorder="1" applyAlignment="1" applyProtection="1">
      <alignment horizontal="left" vertical="top" wrapText="1"/>
      <protection locked="0"/>
    </xf>
    <xf numFmtId="0" fontId="65" fillId="0" borderId="0" xfId="0" applyFont="1" applyFill="1" applyBorder="1" applyAlignment="1">
      <alignment horizontal="justify" vertical="top" wrapText="1"/>
    </xf>
    <xf numFmtId="0" fontId="65" fillId="0" borderId="0" xfId="0" applyFont="1" applyFill="1" applyBorder="1" applyAlignment="1">
      <alignment horizontal="center" vertical="top"/>
    </xf>
    <xf numFmtId="0" fontId="67" fillId="0" borderId="0" xfId="0" applyFont="1" applyFill="1" applyBorder="1" applyAlignment="1" applyProtection="1">
      <alignment horizontal="center" vertical="top"/>
      <protection locked="0"/>
    </xf>
    <xf numFmtId="0" fontId="65" fillId="0" borderId="0" xfId="0" applyFont="1" applyFill="1" applyBorder="1" applyAlignment="1" applyProtection="1">
      <alignment horizontal="center" vertical="top"/>
      <protection locked="0"/>
    </xf>
    <xf numFmtId="0" fontId="65" fillId="0" borderId="0" xfId="73" applyFont="1" applyFill="1" applyBorder="1" applyAlignment="1" applyProtection="1">
      <alignment horizontal="center" vertical="top" wrapText="1"/>
      <protection locked="0"/>
    </xf>
    <xf numFmtId="0" fontId="65" fillId="0" borderId="0" xfId="68" applyFont="1" applyFill="1" applyBorder="1" applyAlignment="1" applyProtection="1">
      <alignment horizontal="center" vertical="top"/>
      <protection locked="0"/>
    </xf>
    <xf numFmtId="0" fontId="67" fillId="0" borderId="0" xfId="0" applyFont="1" applyFill="1" applyBorder="1" applyAlignment="1">
      <alignment horizontal="center" vertical="top"/>
    </xf>
    <xf numFmtId="0" fontId="67" fillId="0" borderId="0" xfId="68" applyFont="1" applyFill="1" applyBorder="1" applyAlignment="1">
      <alignment horizontal="center" vertical="top"/>
    </xf>
  </cellXfs>
  <cellStyles count="10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omma 2" xfId="27" xr:uid="{00000000-0005-0000-0000-00001B000000}"/>
    <cellStyle name="Comma_ANALISIS EL PUERTO" xfId="28" xr:uid="{00000000-0005-0000-0000-00001C000000}"/>
    <cellStyle name="Comma_ANALISIS EL PUERTO_PRES. 62-08 ACUEDUCTO SABANA YEGUA Y TABARA ABAJO, AZUA (desenlazado)" xfId="29" xr:uid="{00000000-0005-0000-0000-00001D000000}"/>
    <cellStyle name="Euro" xfId="30" xr:uid="{00000000-0005-0000-0000-00001E000000}"/>
    <cellStyle name="Explanatory Text" xfId="31" xr:uid="{00000000-0005-0000-0000-00001F000000}"/>
    <cellStyle name="F2" xfId="32" xr:uid="{00000000-0005-0000-0000-000020000000}"/>
    <cellStyle name="F3" xfId="33" xr:uid="{00000000-0005-0000-0000-000021000000}"/>
    <cellStyle name="F4" xfId="34" xr:uid="{00000000-0005-0000-0000-000022000000}"/>
    <cellStyle name="F5" xfId="35" xr:uid="{00000000-0005-0000-0000-000023000000}"/>
    <cellStyle name="F6" xfId="36" xr:uid="{00000000-0005-0000-0000-000024000000}"/>
    <cellStyle name="F7" xfId="37" xr:uid="{00000000-0005-0000-0000-000025000000}"/>
    <cellStyle name="F8" xfId="38" xr:uid="{00000000-0005-0000-0000-000026000000}"/>
    <cellStyle name="Heading 2" xfId="39" xr:uid="{00000000-0005-0000-0000-000027000000}"/>
    <cellStyle name="Heading 3" xfId="40" xr:uid="{00000000-0005-0000-0000-000028000000}"/>
    <cellStyle name="Millares" xfId="41" builtinId="3"/>
    <cellStyle name="Millares 10" xfId="42" xr:uid="{00000000-0005-0000-0000-000029000000}"/>
    <cellStyle name="Millares 10 2 2 2" xfId="43" xr:uid="{00000000-0005-0000-0000-00002A000000}"/>
    <cellStyle name="Millares 11" xfId="44" xr:uid="{00000000-0005-0000-0000-00002B000000}"/>
    <cellStyle name="Millares 2" xfId="45" xr:uid="{00000000-0005-0000-0000-00002C000000}"/>
    <cellStyle name="Millares 2 2" xfId="46" xr:uid="{00000000-0005-0000-0000-00002D000000}"/>
    <cellStyle name="Millares 2 2 2" xfId="47" xr:uid="{00000000-0005-0000-0000-00002E000000}"/>
    <cellStyle name="Millares 2 2 2 3" xfId="48" xr:uid="{00000000-0005-0000-0000-00002F000000}"/>
    <cellStyle name="Millares 3" xfId="49" xr:uid="{00000000-0005-0000-0000-000030000000}"/>
    <cellStyle name="Millares 3 3" xfId="50" xr:uid="{00000000-0005-0000-0000-000031000000}"/>
    <cellStyle name="Millares 3_111-12 ac neyba zona alta" xfId="51" xr:uid="{00000000-0005-0000-0000-000032000000}"/>
    <cellStyle name="Millares 4" xfId="52" xr:uid="{00000000-0005-0000-0000-000033000000}"/>
    <cellStyle name="Millares 5 3" xfId="53" xr:uid="{00000000-0005-0000-0000-000034000000}"/>
    <cellStyle name="Millares 5 3 2" xfId="54" xr:uid="{00000000-0005-0000-0000-000035000000}"/>
    <cellStyle name="Millares 6" xfId="55" xr:uid="{00000000-0005-0000-0000-000036000000}"/>
    <cellStyle name="Millares 8" xfId="56" xr:uid="{00000000-0005-0000-0000-000037000000}"/>
    <cellStyle name="Millares_154-05 terminacion carenero villa clara parte b juana vicenta y los cocos" xfId="57" xr:uid="{00000000-0005-0000-0000-000038000000}"/>
    <cellStyle name="Millares_ALCANTARILLADO SANITARIO - LA DESCUBIERTA -EGB" xfId="58" xr:uid="{00000000-0005-0000-0000-000039000000}"/>
    <cellStyle name="Millares_ANALISIS  ACUEDUCTO LA CUEVA DE CEVICOS" xfId="59" xr:uid="{00000000-0005-0000-0000-00003A000000}"/>
    <cellStyle name="Millares_analisis el pino junumucú" xfId="60" xr:uid="{00000000-0005-0000-0000-00003B000000}"/>
    <cellStyle name="Millares_PLANTA TRATAMIENTO DE TIREO CONSTANZA" xfId="61" xr:uid="{00000000-0005-0000-0000-00003C000000}"/>
    <cellStyle name="Millares_rec 1#57-06  al 160-05 2da. terminacion ac. carenero, villa clara, juana vicenta y los cocos" xfId="62" xr:uid="{00000000-0005-0000-0000-00003D000000}"/>
    <cellStyle name="Millares_rec. 1 al 314-04 ac. mult. sabana larga-hato viejo-potroso" xfId="63" xr:uid="{00000000-0005-0000-0000-00003E000000}"/>
    <cellStyle name="Millares_rec.No.57-03 481-01 alc.sanitario del seibo red colectora y pta. trat. #2" xfId="64" xr:uid="{00000000-0005-0000-0000-00003F000000}"/>
    <cellStyle name="Moneda 2" xfId="65" xr:uid="{00000000-0005-0000-0000-000040000000}"/>
    <cellStyle name="No-definido" xfId="66" xr:uid="{00000000-0005-0000-0000-000041000000}"/>
    <cellStyle name="Normal" xfId="0" builtinId="0"/>
    <cellStyle name="Normal - Style1" xfId="67" xr:uid="{00000000-0005-0000-0000-000043000000}"/>
    <cellStyle name="Normal 11 2" xfId="68" xr:uid="{00000000-0005-0000-0000-000044000000}"/>
    <cellStyle name="Normal 13 2" xfId="69" xr:uid="{00000000-0005-0000-0000-000045000000}"/>
    <cellStyle name="Normal 13 2 3" xfId="70" xr:uid="{00000000-0005-0000-0000-000046000000}"/>
    <cellStyle name="Normal 2" xfId="71" xr:uid="{00000000-0005-0000-0000-000047000000}"/>
    <cellStyle name="Normal 2 2" xfId="72" xr:uid="{00000000-0005-0000-0000-000048000000}"/>
    <cellStyle name="Normal 2 2 2" xfId="73" xr:uid="{00000000-0005-0000-0000-000049000000}"/>
    <cellStyle name="Normal 2 3" xfId="74" xr:uid="{00000000-0005-0000-0000-00004A000000}"/>
    <cellStyle name="Normal 2 4" xfId="75" xr:uid="{00000000-0005-0000-0000-00004B000000}"/>
    <cellStyle name="Normal 2_114-08 PRESUP. ADICIONALES OBRA DE TOMA RIO SOCO SAN PEDRO" xfId="76" xr:uid="{00000000-0005-0000-0000-00004C000000}"/>
    <cellStyle name="Normal 3" xfId="77" xr:uid="{00000000-0005-0000-0000-00004D000000}"/>
    <cellStyle name="Normal 31_correccion de averia ac.hatillo prov.hato mayor oct.2011 2" xfId="78" xr:uid="{00000000-0005-0000-0000-00004E000000}"/>
    <cellStyle name="Normal 4" xfId="79" xr:uid="{00000000-0005-0000-0000-00004F000000}"/>
    <cellStyle name="Normal 5 16" xfId="80" xr:uid="{00000000-0005-0000-0000-000050000000}"/>
    <cellStyle name="Normal 5 2 2" xfId="81" xr:uid="{00000000-0005-0000-0000-000051000000}"/>
    <cellStyle name="Normal 9" xfId="82" xr:uid="{00000000-0005-0000-0000-000052000000}"/>
    <cellStyle name="Normal 9 2" xfId="83" xr:uid="{00000000-0005-0000-0000-000053000000}"/>
    <cellStyle name="Normal_102-09 const. dique y reh. toma lateral exist. AC. EL CACIQUE" xfId="84" xr:uid="{00000000-0005-0000-0000-000054000000}"/>
    <cellStyle name="Normal_126-05 terminacion alc. sant. juan dolio y guayacanes parte b" xfId="85" xr:uid="{00000000-0005-0000-0000-000055000000}"/>
    <cellStyle name="Normal_55-09 Equipamiento Pozos Ac. Rural El Llano" xfId="86" xr:uid="{00000000-0005-0000-0000-000056000000}"/>
    <cellStyle name="Normal_ACUEDUCTO HATO VIEJO-LOS AMACEYES PARTE A" xfId="87" xr:uid="{00000000-0005-0000-0000-000057000000}"/>
    <cellStyle name="Normal_ANALISIS EL PUERTO" xfId="88" xr:uid="{00000000-0005-0000-0000-000058000000}"/>
    <cellStyle name="Normal_ANALISIS EL PUERTO_154-05 terminacion carenero villa clara parte b juana vicenta y los cocos" xfId="89" xr:uid="{00000000-0005-0000-0000-000059000000}"/>
    <cellStyle name="Normal_ANALISIS EL PUERTO_ANALISIS GENERALES DE MARIO Y JOEL" xfId="90" xr:uid="{00000000-0005-0000-0000-00005A000000}"/>
    <cellStyle name="Normal_Copia de Analisis PARA PRESUPUESTO OBRAS PUBLICA df enero 2004" xfId="91" xr:uid="{00000000-0005-0000-0000-00005B000000}"/>
    <cellStyle name="Normal_Copia de Rec. no.2 294-04 (del pres. modificado)   Ac. santana catalina parte A" xfId="92" xr:uid="{00000000-0005-0000-0000-00005C000000}"/>
    <cellStyle name="Normal_CUB04 F.N. AC.VILLA BAO" xfId="93" xr:uid="{00000000-0005-0000-0000-00005D000000}"/>
    <cellStyle name="Normal_Libro2" xfId="94" xr:uid="{00000000-0005-0000-0000-00005E000000}"/>
    <cellStyle name="Normal_MODIFIC. 1  al pres 01-09  Termin Acueducto de Loma de Cabrera" xfId="95" xr:uid="{00000000-0005-0000-0000-00005F000000}"/>
    <cellStyle name="Normal_PLANTA TRATAMIENTO DE TIREO CONSTANZA" xfId="96" xr:uid="{00000000-0005-0000-0000-000060000000}"/>
    <cellStyle name="Normal_Ppresupuesto Acuducto de  estancia del yaque, Pozos # 1 y  2" xfId="97" xr:uid="{00000000-0005-0000-0000-000061000000}"/>
    <cellStyle name="Output" xfId="98" xr:uid="{00000000-0005-0000-0000-000062000000}"/>
    <cellStyle name="Percent 2" xfId="99" xr:uid="{00000000-0005-0000-0000-000064000000}"/>
    <cellStyle name="Porcentaje" xfId="100" builtinId="5"/>
    <cellStyle name="Porcentual 5" xfId="101" xr:uid="{00000000-0005-0000-0000-000065000000}"/>
    <cellStyle name="Title" xfId="102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proyecto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UserProfiles\NetworkService\AppData\Local\Packages\oice_16_974fa576_32c1d314_2d6c\AC\Temp\PROYECTO%20PUCMM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JOHANNY%20MERCEDES\yrma%20-%20teresaPRES.%20223-13ACUEDUCTO%20MULTIPLE%20%20DUVEAUX-EL%20LIMON,%20SAN%20CRISTOB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S%20GUARANAS%20FINAL2\Documents%20and%20Settings\dell2\Escritorio\Mis%20documentos\presupuestos%202006\85-06%20Reh.%20y%20Ampl.%20Ac.%20Imbert%20(2da.%20alternati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CARPETA%20MEYVER%20PUJOLS\CASETAS%20DE%20CLORO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MOV. TIERRA"/>
      <sheetName val="CONTEO"/>
    </sheetNames>
    <sheetDataSet>
      <sheetData sheetId="0" refreshError="1"/>
      <sheetData sheetId="1">
        <row r="275">
          <cell r="E275">
            <v>2645.66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5"/>
  <sheetViews>
    <sheetView topLeftCell="A349" zoomScaleNormal="100" workbookViewId="0">
      <selection activeCell="B367" sqref="B367"/>
    </sheetView>
  </sheetViews>
  <sheetFormatPr baseColWidth="10" defaultColWidth="11.42578125" defaultRowHeight="12.75"/>
  <cols>
    <col min="1" max="1" width="0.7109375" style="2" customWidth="1"/>
    <col min="2" max="2" width="42.28515625" style="2" customWidth="1"/>
    <col min="3" max="3" width="12.7109375" style="147" customWidth="1"/>
    <col min="4" max="4" width="7.85546875" style="202" customWidth="1"/>
    <col min="5" max="5" width="15.85546875" style="147" customWidth="1"/>
    <col min="6" max="6" width="14.140625" style="147" customWidth="1"/>
    <col min="7" max="7" width="3" style="2" customWidth="1"/>
    <col min="8" max="8" width="10.140625" style="3" customWidth="1"/>
    <col min="9" max="9" width="13.28515625" style="3" customWidth="1"/>
    <col min="10" max="10" width="10.28515625" style="3" customWidth="1"/>
    <col min="11" max="11" width="8.42578125" style="4" customWidth="1"/>
    <col min="12" max="12" width="11.42578125" style="4"/>
    <col min="13" max="13" width="12.7109375" style="4" customWidth="1"/>
    <col min="14" max="16384" width="11.42578125" style="4"/>
  </cols>
  <sheetData>
    <row r="1" spans="1:15" ht="16.5" thickTop="1">
      <c r="A1" s="1"/>
      <c r="B1" s="1263" t="s">
        <v>0</v>
      </c>
      <c r="C1" s="1264"/>
      <c r="D1" s="1264"/>
      <c r="E1" s="1264"/>
      <c r="F1" s="1265"/>
    </row>
    <row r="2" spans="1:15" s="8" customFormat="1" ht="17.25" customHeight="1">
      <c r="A2" s="5"/>
      <c r="B2" s="1266" t="s">
        <v>1</v>
      </c>
      <c r="C2" s="1267"/>
      <c r="D2" s="1267"/>
      <c r="E2" s="1267"/>
      <c r="F2" s="1268"/>
      <c r="G2" s="6"/>
      <c r="H2" s="7"/>
      <c r="I2" s="7"/>
      <c r="J2" s="7"/>
    </row>
    <row r="3" spans="1:15" s="8" customFormat="1" ht="15" customHeight="1">
      <c r="A3" s="5"/>
      <c r="B3" s="1269" t="s">
        <v>2</v>
      </c>
      <c r="C3" s="1270"/>
      <c r="D3" s="1270"/>
      <c r="E3" s="1270"/>
      <c r="F3" s="1271"/>
      <c r="G3" s="6"/>
      <c r="H3" s="7"/>
      <c r="I3" s="7"/>
      <c r="J3" s="7"/>
    </row>
    <row r="4" spans="1:15" s="8" customFormat="1" ht="15" customHeight="1">
      <c r="A4" s="5"/>
      <c r="B4" s="1269" t="s">
        <v>3</v>
      </c>
      <c r="C4" s="1270"/>
      <c r="D4" s="1270"/>
      <c r="E4" s="1270"/>
      <c r="F4" s="1271"/>
      <c r="G4" s="6"/>
      <c r="H4" s="7"/>
      <c r="I4" s="7"/>
      <c r="J4" s="7"/>
    </row>
    <row r="5" spans="1:15" s="8" customFormat="1" ht="15" customHeight="1">
      <c r="A5" s="5"/>
      <c r="B5" s="1269"/>
      <c r="C5" s="1270"/>
      <c r="D5" s="1270"/>
      <c r="E5" s="1270"/>
      <c r="F5" s="1271"/>
      <c r="G5" s="6"/>
      <c r="H5" s="7"/>
      <c r="I5" s="7"/>
      <c r="J5" s="7"/>
    </row>
    <row r="6" spans="1:15" s="8" customFormat="1" ht="15" customHeight="1">
      <c r="A6" s="5"/>
      <c r="B6" s="1247" t="s">
        <v>4</v>
      </c>
      <c r="C6" s="336"/>
      <c r="D6" s="336"/>
      <c r="E6" s="336"/>
      <c r="F6" s="1246"/>
      <c r="G6" s="6"/>
      <c r="H6" s="7"/>
      <c r="I6" s="7"/>
      <c r="J6" s="7"/>
    </row>
    <row r="7" spans="1:15" s="8" customFormat="1" ht="15" customHeight="1">
      <c r="A7" s="5"/>
      <c r="B7" s="1272" t="s">
        <v>5</v>
      </c>
      <c r="C7" s="1273"/>
      <c r="D7" s="1273"/>
      <c r="E7" s="341" t="s">
        <v>6</v>
      </c>
      <c r="F7" s="1246"/>
      <c r="G7" s="6"/>
      <c r="H7" s="7"/>
      <c r="I7" s="7"/>
      <c r="J7" s="7"/>
    </row>
    <row r="8" spans="1:15" s="8" customFormat="1" ht="15" customHeight="1">
      <c r="A8" s="5"/>
      <c r="B8" s="339" t="s">
        <v>7</v>
      </c>
      <c r="C8" s="336"/>
      <c r="D8" s="336"/>
      <c r="E8" s="341" t="s">
        <v>8</v>
      </c>
      <c r="F8" s="358" t="s">
        <v>9</v>
      </c>
      <c r="G8" s="6"/>
      <c r="H8" s="7"/>
      <c r="I8" s="7"/>
      <c r="J8" s="7"/>
    </row>
    <row r="9" spans="1:15" s="8" customFormat="1" ht="15" customHeight="1" thickBot="1">
      <c r="B9" s="340" t="s">
        <v>10</v>
      </c>
      <c r="C9" s="337"/>
      <c r="D9" s="337"/>
      <c r="E9" s="342" t="s">
        <v>11</v>
      </c>
      <c r="F9" s="338"/>
      <c r="G9" s="6"/>
      <c r="H9" s="7"/>
      <c r="I9" s="7"/>
      <c r="J9" s="7"/>
    </row>
    <row r="10" spans="1:15" s="8" customFormat="1" ht="5.25" customHeight="1" thickTop="1" thickBot="1">
      <c r="B10" s="9"/>
      <c r="C10" s="9"/>
      <c r="D10" s="9"/>
      <c r="E10" s="9"/>
      <c r="F10" s="9"/>
      <c r="G10" s="6"/>
      <c r="H10" s="7"/>
      <c r="I10" s="7"/>
      <c r="J10" s="7"/>
    </row>
    <row r="11" spans="1:15" s="8" customFormat="1" ht="13.5" customHeight="1" thickTop="1" thickBot="1">
      <c r="A11" s="10"/>
      <c r="B11" s="595" t="s">
        <v>12</v>
      </c>
      <c r="C11" s="596" t="s">
        <v>13</v>
      </c>
      <c r="D11" s="595" t="s">
        <v>14</v>
      </c>
      <c r="E11" s="596" t="s">
        <v>15</v>
      </c>
      <c r="F11" s="596" t="s">
        <v>16</v>
      </c>
      <c r="G11" s="6"/>
      <c r="H11" s="7"/>
      <c r="I11" s="7"/>
      <c r="J11" s="7"/>
    </row>
    <row r="12" spans="1:15" ht="15" customHeight="1" thickTop="1" thickBot="1">
      <c r="A12" s="11"/>
      <c r="B12" s="597" t="s">
        <v>17</v>
      </c>
      <c r="C12" s="598">
        <v>1</v>
      </c>
      <c r="D12" s="599" t="s">
        <v>18</v>
      </c>
      <c r="E12" s="598">
        <v>2.5</v>
      </c>
      <c r="F12" s="598">
        <f>ROUND(C12*E12,2)</f>
        <v>2.5</v>
      </c>
      <c r="G12" s="12"/>
      <c r="H12" s="13"/>
      <c r="I12" s="14"/>
      <c r="J12" s="14"/>
      <c r="K12" s="15"/>
      <c r="L12" s="15"/>
      <c r="M12" s="15"/>
      <c r="N12" s="15"/>
      <c r="O12" s="15"/>
    </row>
    <row r="13" spans="1:15" ht="14.25" customHeight="1" thickTop="1" thickBot="1">
      <c r="B13" s="597" t="s">
        <v>19</v>
      </c>
      <c r="C13" s="598">
        <v>1</v>
      </c>
      <c r="D13" s="599" t="s">
        <v>20</v>
      </c>
      <c r="E13" s="598">
        <v>250</v>
      </c>
      <c r="F13" s="598">
        <f t="shared" ref="F13:F20" si="0">ROUND(C13*E13,2)</f>
        <v>250</v>
      </c>
      <c r="G13" s="12"/>
      <c r="H13" s="13"/>
      <c r="I13" s="14"/>
      <c r="J13" s="14"/>
      <c r="K13" s="15"/>
      <c r="L13" s="15"/>
      <c r="M13" s="15"/>
      <c r="N13" s="15"/>
      <c r="O13" s="15"/>
    </row>
    <row r="14" spans="1:15" ht="15" customHeight="1" thickTop="1" thickBot="1">
      <c r="B14" s="597" t="s">
        <v>21</v>
      </c>
      <c r="C14" s="598">
        <v>1</v>
      </c>
      <c r="D14" s="599" t="s">
        <v>20</v>
      </c>
      <c r="E14" s="598">
        <v>100</v>
      </c>
      <c r="F14" s="598">
        <f t="shared" si="0"/>
        <v>100</v>
      </c>
      <c r="G14" s="12"/>
      <c r="H14" s="13"/>
      <c r="I14" s="14"/>
      <c r="J14" s="14"/>
      <c r="K14" s="15"/>
      <c r="L14" s="15"/>
      <c r="M14" s="15"/>
      <c r="N14" s="15"/>
      <c r="O14" s="15"/>
    </row>
    <row r="15" spans="1:15" ht="14.25" customHeight="1" thickTop="1" thickBot="1">
      <c r="B15" s="597" t="s">
        <v>22</v>
      </c>
      <c r="C15" s="598">
        <v>1</v>
      </c>
      <c r="D15" s="599" t="s">
        <v>23</v>
      </c>
      <c r="E15" s="598">
        <v>1000</v>
      </c>
      <c r="F15" s="598">
        <f t="shared" si="0"/>
        <v>1000</v>
      </c>
      <c r="G15" s="12"/>
      <c r="H15" s="13"/>
      <c r="I15" s="16">
        <f>732.76*1.18</f>
        <v>864.66</v>
      </c>
      <c r="J15" s="14"/>
      <c r="K15" s="15"/>
      <c r="L15" s="15"/>
      <c r="M15" s="15"/>
      <c r="N15" s="15"/>
      <c r="O15" s="15"/>
    </row>
    <row r="16" spans="1:15" ht="14.25" customHeight="1" thickTop="1" thickBot="1">
      <c r="B16" s="597" t="s">
        <v>24</v>
      </c>
      <c r="C16" s="598">
        <v>1</v>
      </c>
      <c r="D16" s="599" t="s">
        <v>23</v>
      </c>
      <c r="E16" s="598">
        <v>1350</v>
      </c>
      <c r="F16" s="598">
        <f t="shared" si="0"/>
        <v>1350</v>
      </c>
      <c r="G16" s="12"/>
      <c r="H16" s="13"/>
      <c r="I16" s="14">
        <v>100</v>
      </c>
      <c r="J16" s="14"/>
      <c r="K16" s="15"/>
      <c r="L16" s="15"/>
      <c r="M16" s="15"/>
      <c r="N16" s="15"/>
      <c r="O16" s="15"/>
    </row>
    <row r="17" spans="1:15" ht="14.25" customHeight="1" thickTop="1" thickBot="1">
      <c r="B17" s="597" t="s">
        <v>25</v>
      </c>
      <c r="C17" s="598">
        <v>1</v>
      </c>
      <c r="D17" s="599" t="s">
        <v>23</v>
      </c>
      <c r="E17" s="598">
        <v>1500</v>
      </c>
      <c r="F17" s="598">
        <f t="shared" si="0"/>
        <v>1500</v>
      </c>
      <c r="G17" s="12"/>
      <c r="H17" s="13"/>
      <c r="I17" s="14">
        <f>I16+I15</f>
        <v>964.7</v>
      </c>
      <c r="J17" s="14"/>
      <c r="K17" s="15"/>
      <c r="L17" s="15"/>
      <c r="M17" s="15"/>
      <c r="N17" s="15"/>
      <c r="O17" s="15"/>
    </row>
    <row r="18" spans="1:15" ht="15" customHeight="1" thickTop="1" thickBot="1">
      <c r="A18" s="11"/>
      <c r="B18" s="597" t="s">
        <v>26</v>
      </c>
      <c r="C18" s="598">
        <v>1</v>
      </c>
      <c r="D18" s="599" t="s">
        <v>27</v>
      </c>
      <c r="E18" s="598">
        <v>2450</v>
      </c>
      <c r="F18" s="598">
        <f t="shared" si="0"/>
        <v>2450</v>
      </c>
      <c r="G18" s="12"/>
      <c r="H18" s="13"/>
      <c r="I18" s="14"/>
      <c r="J18" s="14"/>
      <c r="K18" s="15"/>
      <c r="L18" s="15"/>
      <c r="M18" s="15"/>
      <c r="N18" s="15"/>
      <c r="O18" s="15"/>
    </row>
    <row r="19" spans="1:15" ht="15" customHeight="1" thickTop="1" thickBot="1">
      <c r="A19" s="11"/>
      <c r="B19" s="597" t="s">
        <v>28</v>
      </c>
      <c r="C19" s="598">
        <v>1</v>
      </c>
      <c r="D19" s="599" t="s">
        <v>29</v>
      </c>
      <c r="E19" s="598">
        <v>14</v>
      </c>
      <c r="F19" s="598">
        <f t="shared" si="0"/>
        <v>14</v>
      </c>
      <c r="G19" s="12"/>
      <c r="H19" s="13"/>
      <c r="I19" s="14"/>
      <c r="J19" s="14"/>
      <c r="K19" s="15"/>
      <c r="L19" s="15"/>
      <c r="M19" s="15"/>
      <c r="N19" s="15"/>
      <c r="O19" s="15"/>
    </row>
    <row r="20" spans="1:15" ht="15.75" customHeight="1" thickTop="1" thickBot="1">
      <c r="A20" s="11"/>
      <c r="B20" s="597" t="s">
        <v>30</v>
      </c>
      <c r="C20" s="598">
        <v>8</v>
      </c>
      <c r="D20" s="599" t="s">
        <v>29</v>
      </c>
      <c r="E20" s="598">
        <v>1</v>
      </c>
      <c r="F20" s="598">
        <f t="shared" si="0"/>
        <v>8</v>
      </c>
      <c r="G20" s="12"/>
      <c r="H20" s="13"/>
      <c r="I20" s="94"/>
      <c r="J20" s="14"/>
      <c r="K20" s="15"/>
      <c r="L20" s="15"/>
      <c r="M20" s="15"/>
      <c r="N20" s="15"/>
      <c r="O20" s="15"/>
    </row>
    <row r="21" spans="1:15" ht="14.25" customHeight="1" thickTop="1">
      <c r="B21" s="600"/>
      <c r="C21" s="601"/>
      <c r="D21" s="602"/>
      <c r="E21" s="601"/>
      <c r="F21" s="601"/>
      <c r="G21" s="15"/>
      <c r="H21" s="14"/>
      <c r="I21" s="14"/>
      <c r="J21" s="14"/>
      <c r="K21" s="15"/>
      <c r="L21" s="15"/>
      <c r="M21" s="15"/>
      <c r="N21" s="15"/>
      <c r="O21" s="15"/>
    </row>
    <row r="22" spans="1:15" ht="12.75" customHeight="1" thickBot="1">
      <c r="A22" s="11"/>
      <c r="B22" s="603" t="s">
        <v>31</v>
      </c>
      <c r="C22" s="601"/>
      <c r="D22" s="600"/>
      <c r="E22" s="601"/>
      <c r="F22" s="601"/>
      <c r="G22" s="15"/>
      <c r="H22" s="14"/>
      <c r="I22" s="1255"/>
      <c r="J22" s="1255"/>
      <c r="K22" s="1256"/>
      <c r="L22" s="1256"/>
      <c r="M22" s="1256"/>
      <c r="N22" s="1256"/>
      <c r="O22" s="15"/>
    </row>
    <row r="23" spans="1:15" ht="12.75" customHeight="1" thickTop="1">
      <c r="B23" s="604" t="s">
        <v>32</v>
      </c>
      <c r="C23" s="605">
        <v>1</v>
      </c>
      <c r="D23" s="606" t="s">
        <v>23</v>
      </c>
      <c r="E23" s="607">
        <f>+F15</f>
        <v>1000</v>
      </c>
      <c r="F23" s="608">
        <f>ROUND(C23*E23,2)</f>
        <v>1000</v>
      </c>
      <c r="G23" s="12"/>
      <c r="H23" s="14"/>
      <c r="I23" s="1255"/>
      <c r="J23" s="1255"/>
      <c r="K23" s="1257"/>
      <c r="L23" s="1257"/>
      <c r="M23" s="1258"/>
      <c r="N23" s="1256"/>
      <c r="O23" s="15"/>
    </row>
    <row r="24" spans="1:15" ht="12.75" customHeight="1">
      <c r="B24" s="609" t="s">
        <v>33</v>
      </c>
      <c r="C24" s="610">
        <f>F20</f>
        <v>8</v>
      </c>
      <c r="D24" s="611" t="s">
        <v>29</v>
      </c>
      <c r="E24" s="612"/>
      <c r="F24" s="613">
        <f>ROUND(C24*E24,2)</f>
        <v>0</v>
      </c>
      <c r="G24" s="12"/>
      <c r="H24" s="14"/>
      <c r="I24" s="1255"/>
      <c r="J24" s="1255"/>
      <c r="K24" s="1257"/>
      <c r="L24" s="1257"/>
      <c r="M24" s="1258"/>
      <c r="N24" s="1256"/>
      <c r="O24" s="15"/>
    </row>
    <row r="25" spans="1:15" ht="12.75" customHeight="1">
      <c r="B25" s="614" t="s">
        <v>34</v>
      </c>
      <c r="C25" s="615">
        <v>1</v>
      </c>
      <c r="D25" s="616" t="s">
        <v>23</v>
      </c>
      <c r="E25" s="617">
        <v>12</v>
      </c>
      <c r="F25" s="613">
        <f>ROUND(C25*E25,2)</f>
        <v>12</v>
      </c>
      <c r="G25" s="25"/>
      <c r="H25" s="14"/>
      <c r="I25" s="1255"/>
      <c r="J25" s="1255"/>
      <c r="K25" s="1257"/>
      <c r="L25" s="1257"/>
      <c r="M25" s="1258"/>
      <c r="N25" s="1256"/>
      <c r="O25" s="15"/>
    </row>
    <row r="26" spans="1:15" ht="12.75" customHeight="1" thickBot="1">
      <c r="B26" s="618"/>
      <c r="C26" s="619"/>
      <c r="D26" s="620"/>
      <c r="E26" s="621" t="s">
        <v>35</v>
      </c>
      <c r="F26" s="622">
        <f>SUM(F23:F25)</f>
        <v>1012</v>
      </c>
      <c r="G26" s="28"/>
      <c r="H26" s="14"/>
      <c r="I26" s="1255"/>
      <c r="J26" s="1259"/>
      <c r="K26" s="1257"/>
      <c r="L26" s="1257"/>
      <c r="M26" s="1257"/>
      <c r="N26" s="1256"/>
      <c r="O26" s="15"/>
    </row>
    <row r="27" spans="1:15" ht="12.75" customHeight="1" thickTop="1">
      <c r="B27" s="600"/>
      <c r="C27" s="601"/>
      <c r="D27" s="602"/>
      <c r="E27" s="601"/>
      <c r="F27" s="601"/>
      <c r="G27" s="15"/>
      <c r="H27" s="14"/>
      <c r="I27" s="1255"/>
      <c r="J27" s="1255"/>
      <c r="K27" s="1256"/>
      <c r="L27" s="1256"/>
      <c r="M27" s="1256"/>
      <c r="N27" s="1256"/>
      <c r="O27" s="15"/>
    </row>
    <row r="28" spans="1:15" ht="12.75" customHeight="1" thickBot="1">
      <c r="B28" s="603" t="s">
        <v>36</v>
      </c>
      <c r="C28" s="601"/>
      <c r="D28" s="600"/>
      <c r="E28" s="601"/>
      <c r="F28" s="601"/>
      <c r="G28" s="15"/>
      <c r="H28" s="14"/>
      <c r="I28" s="1255"/>
      <c r="J28" s="1255"/>
      <c r="K28" s="1256"/>
      <c r="L28" s="1256"/>
      <c r="M28" s="1256"/>
      <c r="N28" s="1256"/>
      <c r="O28" s="15"/>
    </row>
    <row r="29" spans="1:15" ht="12.75" customHeight="1" thickTop="1">
      <c r="B29" s="604" t="s">
        <v>32</v>
      </c>
      <c r="C29" s="605">
        <v>1</v>
      </c>
      <c r="D29" s="606" t="s">
        <v>23</v>
      </c>
      <c r="E29" s="607">
        <f>+F16</f>
        <v>1350</v>
      </c>
      <c r="F29" s="623">
        <f>ROUND(C29*E29,2)</f>
        <v>1350</v>
      </c>
      <c r="G29" s="12"/>
      <c r="H29" s="14"/>
      <c r="I29" s="1255"/>
      <c r="J29" s="1255"/>
      <c r="K29" s="1257"/>
      <c r="L29" s="1257"/>
      <c r="M29" s="1260"/>
      <c r="N29" s="1256"/>
      <c r="O29" s="15"/>
    </row>
    <row r="30" spans="1:15" ht="12.75" customHeight="1">
      <c r="B30" s="609" t="s">
        <v>33</v>
      </c>
      <c r="C30" s="610">
        <f>F20</f>
        <v>8</v>
      </c>
      <c r="D30" s="611" t="s">
        <v>29</v>
      </c>
      <c r="E30" s="612"/>
      <c r="F30" s="613">
        <f>ROUND(C30*E30,2)</f>
        <v>0</v>
      </c>
      <c r="G30" s="12"/>
      <c r="H30" s="14"/>
      <c r="I30" s="1255"/>
      <c r="J30" s="1255"/>
      <c r="K30" s="1257"/>
      <c r="L30" s="1257"/>
      <c r="M30" s="1260"/>
      <c r="N30" s="1256"/>
      <c r="O30" s="15"/>
    </row>
    <row r="31" spans="1:15" ht="12.75" customHeight="1">
      <c r="B31" s="614" t="s">
        <v>34</v>
      </c>
      <c r="C31" s="615">
        <v>1</v>
      </c>
      <c r="D31" s="616" t="s">
        <v>23</v>
      </c>
      <c r="E31" s="617">
        <v>12</v>
      </c>
      <c r="F31" s="613">
        <f>ROUND(C31*E31,2)</f>
        <v>12</v>
      </c>
      <c r="G31" s="25"/>
      <c r="H31" s="14"/>
      <c r="I31" s="1255"/>
      <c r="J31" s="1255"/>
      <c r="K31" s="1257"/>
      <c r="L31" s="1257"/>
      <c r="M31" s="1260"/>
      <c r="N31" s="1256"/>
      <c r="O31" s="15"/>
    </row>
    <row r="32" spans="1:15" ht="12.75" customHeight="1" thickBot="1">
      <c r="B32" s="624"/>
      <c r="C32" s="619"/>
      <c r="D32" s="620"/>
      <c r="E32" s="621" t="s">
        <v>35</v>
      </c>
      <c r="F32" s="625">
        <f>SUM(F29:F31)</f>
        <v>1362</v>
      </c>
      <c r="G32" s="30"/>
      <c r="H32" s="14"/>
      <c r="I32" s="1255"/>
      <c r="J32" s="1259"/>
      <c r="K32" s="1257"/>
      <c r="L32" s="1257"/>
      <c r="M32" s="1257"/>
      <c r="N32" s="1256"/>
      <c r="O32" s="15"/>
    </row>
    <row r="33" spans="2:15" ht="12.75" customHeight="1" thickTop="1">
      <c r="B33" s="626"/>
      <c r="C33" s="627"/>
      <c r="D33" s="628"/>
      <c r="E33" s="629"/>
      <c r="F33" s="630"/>
      <c r="G33" s="30"/>
      <c r="H33" s="14"/>
      <c r="I33" s="1255"/>
      <c r="J33" s="1259"/>
      <c r="K33" s="1257"/>
      <c r="L33" s="1257"/>
      <c r="M33" s="1257"/>
      <c r="N33" s="1256"/>
      <c r="O33" s="15"/>
    </row>
    <row r="34" spans="2:15" ht="12.75" customHeight="1" thickBot="1">
      <c r="B34" s="603" t="s">
        <v>37</v>
      </c>
      <c r="C34" s="601"/>
      <c r="D34" s="600"/>
      <c r="E34" s="601"/>
      <c r="F34" s="601"/>
      <c r="G34" s="30"/>
      <c r="H34" s="14"/>
      <c r="I34" s="14"/>
      <c r="J34" s="33"/>
      <c r="K34" s="25"/>
      <c r="L34" s="25"/>
      <c r="M34" s="28"/>
      <c r="N34" s="15"/>
      <c r="O34" s="15"/>
    </row>
    <row r="35" spans="2:15" ht="12.75" customHeight="1" thickTop="1">
      <c r="B35" s="604" t="s">
        <v>22</v>
      </c>
      <c r="C35" s="605">
        <v>0.45</v>
      </c>
      <c r="D35" s="631" t="s">
        <v>23</v>
      </c>
      <c r="E35" s="607">
        <f>F26</f>
        <v>1012</v>
      </c>
      <c r="F35" s="623">
        <f>ROUND(C35*E35,2)</f>
        <v>455.4</v>
      </c>
      <c r="G35" s="30"/>
      <c r="H35" s="14"/>
      <c r="I35" s="14"/>
      <c r="J35" s="33"/>
      <c r="K35" s="25"/>
      <c r="L35" s="25"/>
      <c r="M35" s="28"/>
      <c r="N35" s="15"/>
      <c r="O35" s="15"/>
    </row>
    <row r="36" spans="2:15" ht="12.75" customHeight="1">
      <c r="B36" s="614" t="s">
        <v>24</v>
      </c>
      <c r="C36" s="615">
        <v>0.9</v>
      </c>
      <c r="D36" s="632" t="s">
        <v>23</v>
      </c>
      <c r="E36" s="617">
        <f>F32</f>
        <v>1362</v>
      </c>
      <c r="F36" s="613">
        <f>ROUND(C36*E36,2)</f>
        <v>1225.8</v>
      </c>
      <c r="G36" s="30"/>
      <c r="H36" s="14"/>
      <c r="I36" s="14"/>
      <c r="J36" s="33"/>
      <c r="K36" s="25"/>
      <c r="L36" s="25"/>
      <c r="M36" s="28"/>
      <c r="N36" s="15"/>
      <c r="O36" s="15"/>
    </row>
    <row r="37" spans="2:15" ht="12.75" customHeight="1">
      <c r="B37" s="614" t="s">
        <v>38</v>
      </c>
      <c r="C37" s="615">
        <v>13</v>
      </c>
      <c r="D37" s="632" t="s">
        <v>39</v>
      </c>
      <c r="E37" s="617">
        <f>F13</f>
        <v>250</v>
      </c>
      <c r="F37" s="613">
        <f>ROUND(C37*E37,2)</f>
        <v>3250</v>
      </c>
      <c r="G37" s="30"/>
      <c r="H37" s="14"/>
      <c r="I37" s="14"/>
      <c r="J37" s="33"/>
      <c r="K37" s="25"/>
      <c r="L37" s="25"/>
      <c r="M37" s="28"/>
      <c r="N37" s="15"/>
      <c r="O37" s="15"/>
    </row>
    <row r="38" spans="2:15" ht="12.75" customHeight="1">
      <c r="B38" s="614" t="s">
        <v>17</v>
      </c>
      <c r="C38" s="615">
        <v>60</v>
      </c>
      <c r="D38" s="632" t="s">
        <v>40</v>
      </c>
      <c r="E38" s="617">
        <f>F12</f>
        <v>2.5</v>
      </c>
      <c r="F38" s="613">
        <f>ROUND(C38*E38,2)</f>
        <v>150</v>
      </c>
      <c r="G38" s="30"/>
      <c r="H38" s="14"/>
      <c r="I38" s="14"/>
      <c r="J38" s="33"/>
      <c r="K38" s="25"/>
      <c r="L38" s="25"/>
      <c r="M38" s="28"/>
      <c r="N38" s="15"/>
      <c r="O38" s="15"/>
    </row>
    <row r="39" spans="2:15" ht="12.75" customHeight="1">
      <c r="B39" s="614" t="s">
        <v>41</v>
      </c>
      <c r="C39" s="615">
        <v>1</v>
      </c>
      <c r="D39" s="632" t="s">
        <v>23</v>
      </c>
      <c r="E39" s="617">
        <v>800</v>
      </c>
      <c r="F39" s="613">
        <f>ROUND(C39*E39,2)</f>
        <v>800</v>
      </c>
      <c r="G39" s="30"/>
      <c r="H39" s="14"/>
      <c r="I39" s="14"/>
      <c r="J39" s="33"/>
      <c r="K39" s="25"/>
      <c r="L39" s="25"/>
      <c r="M39" s="28"/>
      <c r="N39" s="15"/>
      <c r="O39" s="15"/>
    </row>
    <row r="40" spans="2:15" ht="12.75" customHeight="1">
      <c r="B40" s="614" t="s">
        <v>42</v>
      </c>
      <c r="C40" s="615"/>
      <c r="D40" s="632"/>
      <c r="E40" s="615"/>
      <c r="F40" s="633">
        <f>SUM(F35+F36+F37+F38)*0.02</f>
        <v>101.62</v>
      </c>
      <c r="G40" s="30"/>
      <c r="H40" s="14"/>
      <c r="I40" s="14"/>
      <c r="J40" s="33"/>
      <c r="K40" s="25"/>
      <c r="L40" s="25"/>
      <c r="M40" s="28"/>
      <c r="N40" s="15"/>
      <c r="O40" s="15"/>
    </row>
    <row r="41" spans="2:15" ht="12.75" customHeight="1" thickBot="1">
      <c r="B41" s="624"/>
      <c r="C41" s="634"/>
      <c r="D41" s="635"/>
      <c r="E41" s="636" t="s">
        <v>43</v>
      </c>
      <c r="F41" s="637">
        <f>SUM(F35:F40)</f>
        <v>5982.82</v>
      </c>
      <c r="G41" s="30"/>
      <c r="H41" s="14"/>
      <c r="I41" s="14"/>
      <c r="J41" s="33"/>
      <c r="K41" s="25"/>
      <c r="L41" s="25"/>
      <c r="M41" s="28"/>
      <c r="N41" s="15"/>
      <c r="O41" s="15"/>
    </row>
    <row r="42" spans="2:15" ht="12.75" customHeight="1" thickTop="1">
      <c r="B42" s="626"/>
      <c r="C42" s="627"/>
      <c r="D42" s="628"/>
      <c r="E42" s="629"/>
      <c r="F42" s="630"/>
      <c r="G42" s="30"/>
      <c r="H42" s="14"/>
      <c r="I42" s="14"/>
      <c r="J42" s="33"/>
      <c r="K42" s="25"/>
      <c r="L42" s="25"/>
      <c r="M42" s="28"/>
      <c r="N42" s="15"/>
      <c r="O42" s="15"/>
    </row>
    <row r="43" spans="2:15" ht="12.75" customHeight="1" thickBot="1">
      <c r="B43" s="603" t="s">
        <v>44</v>
      </c>
      <c r="C43" s="601"/>
      <c r="D43" s="600"/>
      <c r="E43" s="601"/>
      <c r="F43" s="601"/>
      <c r="G43" s="30"/>
      <c r="H43" s="14"/>
      <c r="I43" s="14"/>
      <c r="J43" s="33"/>
      <c r="K43" s="25"/>
      <c r="L43" s="25"/>
      <c r="M43" s="28"/>
      <c r="N43" s="15"/>
      <c r="O43" s="15"/>
    </row>
    <row r="44" spans="2:15" ht="12.75" customHeight="1" thickTop="1">
      <c r="B44" s="604" t="s">
        <v>22</v>
      </c>
      <c r="C44" s="605">
        <v>0.45</v>
      </c>
      <c r="D44" s="631" t="s">
        <v>23</v>
      </c>
      <c r="E44" s="605">
        <f>F26</f>
        <v>1012</v>
      </c>
      <c r="F44" s="623">
        <f>ROUND(C44*E44,2)</f>
        <v>455.4</v>
      </c>
      <c r="G44" s="30"/>
      <c r="H44" s="14"/>
      <c r="I44" s="14"/>
      <c r="J44" s="33"/>
      <c r="K44" s="25"/>
      <c r="L44" s="25"/>
      <c r="M44" s="28"/>
      <c r="N44" s="15"/>
      <c r="O44" s="15"/>
    </row>
    <row r="45" spans="2:15" ht="12.75" customHeight="1">
      <c r="B45" s="614" t="s">
        <v>24</v>
      </c>
      <c r="C45" s="615">
        <v>0.9</v>
      </c>
      <c r="D45" s="632" t="s">
        <v>23</v>
      </c>
      <c r="E45" s="615">
        <f>F32</f>
        <v>1362</v>
      </c>
      <c r="F45" s="613">
        <f>ROUND(C45*E45,2)</f>
        <v>1225.8</v>
      </c>
      <c r="G45" s="30"/>
      <c r="H45" s="14"/>
      <c r="I45" s="14"/>
      <c r="J45" s="33"/>
      <c r="K45" s="25"/>
      <c r="L45" s="25"/>
      <c r="M45" s="28"/>
      <c r="N45" s="15"/>
      <c r="O45" s="15"/>
    </row>
    <row r="46" spans="2:15" ht="12.75" customHeight="1">
      <c r="B46" s="614" t="s">
        <v>38</v>
      </c>
      <c r="C46" s="615">
        <v>9</v>
      </c>
      <c r="D46" s="632" t="s">
        <v>39</v>
      </c>
      <c r="E46" s="615">
        <f>F13</f>
        <v>250</v>
      </c>
      <c r="F46" s="613">
        <f>ROUND(C46*E46,2)</f>
        <v>2250</v>
      </c>
      <c r="G46" s="30"/>
      <c r="H46" s="14"/>
      <c r="I46" s="14"/>
      <c r="J46" s="33"/>
      <c r="K46" s="25"/>
      <c r="L46" s="25"/>
      <c r="M46" s="28"/>
      <c r="N46" s="15"/>
      <c r="O46" s="15"/>
    </row>
    <row r="47" spans="2:15" ht="12.75" customHeight="1">
      <c r="B47" s="614" t="s">
        <v>17</v>
      </c>
      <c r="C47" s="615">
        <v>60</v>
      </c>
      <c r="D47" s="632" t="s">
        <v>40</v>
      </c>
      <c r="E47" s="615">
        <f>F12</f>
        <v>2.5</v>
      </c>
      <c r="F47" s="613">
        <f>ROUND(C47*E47,2)</f>
        <v>150</v>
      </c>
      <c r="G47" s="30"/>
      <c r="H47" s="14"/>
      <c r="I47" s="14"/>
      <c r="J47" s="33"/>
      <c r="K47" s="25"/>
      <c r="L47" s="25"/>
      <c r="M47" s="28"/>
      <c r="N47" s="15"/>
      <c r="O47" s="15"/>
    </row>
    <row r="48" spans="2:15" ht="12.75" customHeight="1">
      <c r="B48" s="614" t="s">
        <v>41</v>
      </c>
      <c r="C48" s="615">
        <v>1</v>
      </c>
      <c r="D48" s="632" t="s">
        <v>23</v>
      </c>
      <c r="E48" s="615">
        <v>800</v>
      </c>
      <c r="F48" s="613">
        <f>ROUND(C48*E48,2)</f>
        <v>800</v>
      </c>
      <c r="G48" s="30"/>
      <c r="H48" s="14"/>
      <c r="I48" s="14"/>
      <c r="J48" s="33"/>
      <c r="K48" s="25"/>
      <c r="L48" s="25"/>
      <c r="M48" s="28"/>
      <c r="N48" s="15"/>
      <c r="O48" s="15"/>
    </row>
    <row r="49" spans="1:15" ht="12.75" customHeight="1">
      <c r="B49" s="614" t="s">
        <v>42</v>
      </c>
      <c r="C49" s="615"/>
      <c r="D49" s="632"/>
      <c r="E49" s="615"/>
      <c r="F49" s="633">
        <f>SUM(F44+F45+F46+F47)*0.02</f>
        <v>81.62</v>
      </c>
      <c r="G49" s="30"/>
      <c r="H49" s="14"/>
      <c r="I49" s="14"/>
      <c r="J49" s="33"/>
      <c r="K49" s="25"/>
      <c r="L49" s="25"/>
      <c r="M49" s="28"/>
      <c r="N49" s="15"/>
      <c r="O49" s="15"/>
    </row>
    <row r="50" spans="1:15" ht="12.75" customHeight="1" thickBot="1">
      <c r="B50" s="624"/>
      <c r="C50" s="634"/>
      <c r="D50" s="635"/>
      <c r="E50" s="636" t="s">
        <v>43</v>
      </c>
      <c r="F50" s="637">
        <f>SUM(F44:F49)</f>
        <v>4962.82</v>
      </c>
      <c r="G50" s="30"/>
      <c r="H50" s="14"/>
      <c r="I50" s="14"/>
      <c r="J50" s="33"/>
      <c r="K50" s="25"/>
      <c r="L50" s="25"/>
      <c r="M50" s="28"/>
      <c r="N50" s="15"/>
      <c r="O50" s="15"/>
    </row>
    <row r="51" spans="1:15" ht="12.75" customHeight="1" thickTop="1">
      <c r="B51" s="603" t="s">
        <v>45</v>
      </c>
      <c r="C51" s="629"/>
      <c r="D51" s="638"/>
      <c r="E51" s="639"/>
      <c r="F51" s="639">
        <f>(F50-F48)+800</f>
        <v>4962.82</v>
      </c>
      <c r="G51" s="30"/>
      <c r="H51" s="14"/>
      <c r="I51" s="14"/>
      <c r="J51" s="33"/>
      <c r="K51" s="25"/>
      <c r="L51" s="25"/>
      <c r="M51" s="28"/>
      <c r="N51" s="15"/>
      <c r="O51" s="15"/>
    </row>
    <row r="52" spans="1:15" ht="12.75" customHeight="1">
      <c r="B52" s="626"/>
      <c r="C52" s="629"/>
      <c r="D52" s="638"/>
      <c r="E52" s="639"/>
      <c r="F52" s="639"/>
      <c r="G52" s="30"/>
      <c r="H52" s="14"/>
      <c r="I52" s="14"/>
      <c r="J52" s="33"/>
      <c r="K52" s="25"/>
      <c r="L52" s="25"/>
      <c r="M52" s="28"/>
      <c r="N52" s="15"/>
      <c r="O52" s="15"/>
    </row>
    <row r="53" spans="1:15" ht="12.75" customHeight="1" thickBot="1">
      <c r="A53" s="41"/>
      <c r="B53" s="603" t="s">
        <v>46</v>
      </c>
      <c r="C53" s="601"/>
      <c r="D53" s="600"/>
      <c r="E53" s="601"/>
      <c r="F53" s="601"/>
      <c r="G53" s="15"/>
      <c r="H53" s="14"/>
      <c r="I53" s="14"/>
      <c r="J53" s="14"/>
      <c r="K53" s="15"/>
      <c r="L53" s="15"/>
      <c r="M53" s="15"/>
      <c r="N53" s="15"/>
      <c r="O53" s="15"/>
    </row>
    <row r="54" spans="1:15" ht="12.75" customHeight="1" thickTop="1">
      <c r="B54" s="604" t="s">
        <v>22</v>
      </c>
      <c r="C54" s="605">
        <v>0.52</v>
      </c>
      <c r="D54" s="631" t="s">
        <v>23</v>
      </c>
      <c r="E54" s="605">
        <f>F26</f>
        <v>1012</v>
      </c>
      <c r="F54" s="623">
        <f>ROUND(C54*E54,2)</f>
        <v>526.24</v>
      </c>
      <c r="G54" s="25"/>
      <c r="H54" s="14"/>
      <c r="I54" s="14"/>
      <c r="J54" s="14"/>
      <c r="K54" s="15"/>
      <c r="L54" s="15"/>
      <c r="M54" s="15"/>
      <c r="N54" s="15"/>
      <c r="O54" s="15"/>
    </row>
    <row r="55" spans="1:15" ht="12.75" customHeight="1">
      <c r="B55" s="614" t="s">
        <v>24</v>
      </c>
      <c r="C55" s="615">
        <v>0.85</v>
      </c>
      <c r="D55" s="632" t="s">
        <v>23</v>
      </c>
      <c r="E55" s="615">
        <f>F32</f>
        <v>1362</v>
      </c>
      <c r="F55" s="613">
        <f>ROUND(C55*E55,2)</f>
        <v>1157.7</v>
      </c>
      <c r="G55" s="25"/>
      <c r="H55" s="14"/>
      <c r="I55" s="14"/>
      <c r="J55" s="14"/>
      <c r="K55" s="15"/>
      <c r="L55" s="15"/>
      <c r="M55" s="15"/>
      <c r="N55" s="15"/>
      <c r="O55" s="15"/>
    </row>
    <row r="56" spans="1:15" ht="12.75" customHeight="1">
      <c r="B56" s="614" t="s">
        <v>38</v>
      </c>
      <c r="C56" s="615">
        <v>7</v>
      </c>
      <c r="D56" s="632" t="s">
        <v>39</v>
      </c>
      <c r="E56" s="615">
        <f>F13</f>
        <v>250</v>
      </c>
      <c r="F56" s="613">
        <f>ROUND(C56*E56,2)</f>
        <v>1750</v>
      </c>
      <c r="G56" s="25"/>
      <c r="H56" s="14"/>
      <c r="I56" s="14"/>
      <c r="J56" s="14"/>
      <c r="K56" s="15"/>
      <c r="L56" s="15"/>
      <c r="M56" s="15"/>
      <c r="N56" s="15"/>
      <c r="O56" s="15"/>
    </row>
    <row r="57" spans="1:15" ht="12.75" customHeight="1">
      <c r="B57" s="614" t="s">
        <v>17</v>
      </c>
      <c r="C57" s="615">
        <v>60</v>
      </c>
      <c r="D57" s="632" t="s">
        <v>40</v>
      </c>
      <c r="E57" s="615">
        <f>F12</f>
        <v>2.5</v>
      </c>
      <c r="F57" s="613">
        <f>ROUND(C57*E57,2)</f>
        <v>150</v>
      </c>
      <c r="G57" s="25"/>
      <c r="H57" s="14"/>
      <c r="I57" s="14"/>
      <c r="J57" s="14"/>
      <c r="K57" s="15"/>
      <c r="L57" s="15"/>
      <c r="M57" s="15"/>
      <c r="N57" s="15"/>
      <c r="O57" s="15"/>
    </row>
    <row r="58" spans="1:15" ht="12.75" customHeight="1">
      <c r="B58" s="614" t="s">
        <v>41</v>
      </c>
      <c r="C58" s="615">
        <v>1</v>
      </c>
      <c r="D58" s="632" t="s">
        <v>23</v>
      </c>
      <c r="E58" s="615">
        <v>800</v>
      </c>
      <c r="F58" s="613">
        <f>ROUND(C58*E58,2)</f>
        <v>800</v>
      </c>
      <c r="G58" s="25"/>
      <c r="H58" s="14"/>
      <c r="I58" s="14"/>
      <c r="J58" s="14"/>
      <c r="K58" s="15"/>
      <c r="L58" s="15"/>
      <c r="M58" s="15"/>
      <c r="N58" s="15"/>
      <c r="O58" s="15"/>
    </row>
    <row r="59" spans="1:15" ht="12.75" customHeight="1">
      <c r="B59" s="614" t="s">
        <v>42</v>
      </c>
      <c r="C59" s="615"/>
      <c r="D59" s="632"/>
      <c r="E59" s="615"/>
      <c r="F59" s="633">
        <f>SUM(F54+F55+F56+F57)*0.02</f>
        <v>71.680000000000007</v>
      </c>
      <c r="G59" s="42"/>
      <c r="H59" s="14"/>
      <c r="I59" s="14"/>
      <c r="J59" s="14"/>
      <c r="K59" s="15"/>
      <c r="L59" s="15"/>
      <c r="M59" s="15"/>
      <c r="N59" s="15"/>
      <c r="O59" s="15"/>
    </row>
    <row r="60" spans="1:15" ht="12.75" customHeight="1" thickBot="1">
      <c r="B60" s="624"/>
      <c r="C60" s="634"/>
      <c r="D60" s="635"/>
      <c r="E60" s="636" t="s">
        <v>43</v>
      </c>
      <c r="F60" s="637">
        <f>SUM(F54:F59)</f>
        <v>4455.62</v>
      </c>
      <c r="G60" s="30"/>
      <c r="H60" s="14"/>
      <c r="I60" s="14"/>
      <c r="J60" s="14"/>
      <c r="K60" s="15"/>
      <c r="L60" s="15"/>
      <c r="M60" s="15"/>
      <c r="N60" s="15"/>
      <c r="O60" s="15"/>
    </row>
    <row r="61" spans="1:15" ht="12" customHeight="1" thickTop="1">
      <c r="B61" s="640"/>
      <c r="C61" s="629"/>
      <c r="D61" s="602"/>
      <c r="E61" s="639" t="s">
        <v>47</v>
      </c>
      <c r="F61" s="639">
        <f>F60*1.05</f>
        <v>4678.3999999999996</v>
      </c>
      <c r="G61" s="15"/>
      <c r="H61" s="14"/>
      <c r="I61" s="14"/>
      <c r="J61" s="14"/>
      <c r="K61" s="15"/>
      <c r="L61" s="15"/>
      <c r="M61" s="15"/>
      <c r="N61" s="15"/>
      <c r="O61" s="15"/>
    </row>
    <row r="62" spans="1:15" ht="12.75" customHeight="1" thickBot="1">
      <c r="B62" s="603" t="s">
        <v>48</v>
      </c>
      <c r="C62" s="601"/>
      <c r="D62" s="600"/>
      <c r="E62" s="601"/>
      <c r="F62" s="601"/>
      <c r="G62" s="15"/>
      <c r="H62" s="14"/>
      <c r="I62" s="14"/>
      <c r="J62" s="14"/>
      <c r="K62" s="15"/>
      <c r="L62" s="15"/>
      <c r="M62" s="15"/>
      <c r="N62" s="15"/>
      <c r="O62" s="15"/>
    </row>
    <row r="63" spans="1:15" ht="12.75" customHeight="1" thickTop="1">
      <c r="B63" s="604" t="s">
        <v>22</v>
      </c>
      <c r="C63" s="605">
        <v>0.52</v>
      </c>
      <c r="D63" s="631" t="s">
        <v>23</v>
      </c>
      <c r="E63" s="605">
        <f>+F26</f>
        <v>1012</v>
      </c>
      <c r="F63" s="623">
        <f>ROUND(C63*E63,2)</f>
        <v>526.24</v>
      </c>
      <c r="G63" s="25"/>
      <c r="H63" s="14"/>
      <c r="I63" s="14"/>
      <c r="J63" s="14"/>
      <c r="K63" s="15"/>
      <c r="L63" s="15"/>
      <c r="M63" s="15"/>
      <c r="N63" s="15"/>
      <c r="O63" s="15"/>
    </row>
    <row r="64" spans="1:15" ht="12.75" customHeight="1">
      <c r="B64" s="614" t="s">
        <v>24</v>
      </c>
      <c r="C64" s="615">
        <v>0</v>
      </c>
      <c r="D64" s="632" t="s">
        <v>23</v>
      </c>
      <c r="E64" s="615">
        <f>F32</f>
        <v>1362</v>
      </c>
      <c r="F64" s="613">
        <f>ROUND(C64*E64,2)</f>
        <v>0</v>
      </c>
      <c r="G64" s="25"/>
      <c r="H64" s="14"/>
      <c r="I64" s="14"/>
      <c r="J64" s="14"/>
      <c r="K64" s="15"/>
      <c r="L64" s="15"/>
      <c r="M64" s="15"/>
      <c r="N64" s="15"/>
      <c r="O64" s="15"/>
    </row>
    <row r="65" spans="1:15" ht="12.75" customHeight="1">
      <c r="B65" s="614" t="s">
        <v>38</v>
      </c>
      <c r="C65" s="615">
        <v>6.44</v>
      </c>
      <c r="D65" s="632" t="s">
        <v>39</v>
      </c>
      <c r="E65" s="615">
        <f>F13</f>
        <v>250</v>
      </c>
      <c r="F65" s="613">
        <f>ROUND(C65*E65,2)</f>
        <v>1610</v>
      </c>
      <c r="G65" s="25"/>
      <c r="H65" s="14"/>
      <c r="I65" s="14"/>
      <c r="J65" s="14"/>
      <c r="K65" s="15"/>
      <c r="L65" s="15"/>
      <c r="M65" s="15"/>
      <c r="N65" s="15"/>
      <c r="O65" s="15"/>
    </row>
    <row r="66" spans="1:15" ht="12.75" customHeight="1">
      <c r="B66" s="614" t="s">
        <v>17</v>
      </c>
      <c r="C66" s="615">
        <v>60</v>
      </c>
      <c r="D66" s="632" t="s">
        <v>40</v>
      </c>
      <c r="E66" s="615">
        <f>F12</f>
        <v>2.5</v>
      </c>
      <c r="F66" s="613">
        <f>ROUND(C66*E66,2)</f>
        <v>150</v>
      </c>
      <c r="G66" s="25"/>
      <c r="H66" s="14"/>
      <c r="I66" s="14"/>
      <c r="J66" s="14"/>
      <c r="K66" s="15"/>
      <c r="L66" s="15"/>
      <c r="M66" s="15"/>
      <c r="N66" s="15"/>
      <c r="O66" s="15"/>
    </row>
    <row r="67" spans="1:15" ht="12.75" customHeight="1">
      <c r="B67" s="614" t="s">
        <v>41</v>
      </c>
      <c r="C67" s="615">
        <v>1</v>
      </c>
      <c r="D67" s="632" t="s">
        <v>23</v>
      </c>
      <c r="E67" s="615">
        <v>800</v>
      </c>
      <c r="F67" s="613">
        <f>ROUND(C67*E67,2)</f>
        <v>800</v>
      </c>
      <c r="G67" s="25"/>
      <c r="H67" s="14"/>
      <c r="I67" s="14"/>
      <c r="J67" s="14"/>
      <c r="K67" s="15"/>
      <c r="L67" s="15"/>
      <c r="M67" s="15"/>
      <c r="N67" s="15"/>
      <c r="O67" s="15"/>
    </row>
    <row r="68" spans="1:15" ht="12.75" customHeight="1">
      <c r="B68" s="614" t="s">
        <v>42</v>
      </c>
      <c r="C68" s="615"/>
      <c r="D68" s="632"/>
      <c r="E68" s="615"/>
      <c r="F68" s="633">
        <f>SUM(F63+F64+F65+F66)*0.02</f>
        <v>45.72</v>
      </c>
      <c r="G68" s="42"/>
      <c r="H68" s="14"/>
      <c r="I68" s="14"/>
      <c r="J68" s="14"/>
      <c r="K68" s="15"/>
      <c r="L68" s="15"/>
      <c r="M68" s="15"/>
      <c r="N68" s="15"/>
      <c r="O68" s="15"/>
    </row>
    <row r="69" spans="1:15" ht="12.75" customHeight="1" thickBot="1">
      <c r="B69" s="624"/>
      <c r="C69" s="634"/>
      <c r="D69" s="635"/>
      <c r="E69" s="636" t="s">
        <v>43</v>
      </c>
      <c r="F69" s="637">
        <f>SUM(F63:F68)</f>
        <v>3131.96</v>
      </c>
      <c r="G69" s="30"/>
      <c r="H69" s="14"/>
      <c r="I69" s="14"/>
      <c r="J69" s="14"/>
      <c r="K69" s="15"/>
      <c r="L69" s="15"/>
      <c r="M69" s="15"/>
      <c r="N69" s="15"/>
      <c r="O69" s="15"/>
    </row>
    <row r="70" spans="1:15" ht="12" customHeight="1" thickTop="1">
      <c r="B70" s="626"/>
      <c r="C70" s="629"/>
      <c r="D70" s="638"/>
      <c r="E70" s="639"/>
      <c r="F70" s="639"/>
      <c r="G70" s="30"/>
      <c r="H70" s="14"/>
      <c r="I70" s="14"/>
      <c r="J70" s="14"/>
      <c r="K70" s="15"/>
      <c r="L70" s="15"/>
      <c r="M70" s="15"/>
      <c r="N70" s="15"/>
      <c r="O70" s="15"/>
    </row>
    <row r="71" spans="1:15" ht="15.75" customHeight="1" thickBot="1">
      <c r="A71" s="41"/>
      <c r="B71" s="641" t="s">
        <v>49</v>
      </c>
      <c r="C71" s="601"/>
      <c r="D71" s="642"/>
      <c r="E71" s="601"/>
      <c r="F71" s="601"/>
      <c r="G71" s="15"/>
      <c r="H71" s="14"/>
      <c r="I71" s="14"/>
      <c r="J71" s="14"/>
      <c r="K71" s="15"/>
      <c r="L71" s="15"/>
      <c r="M71" s="15"/>
      <c r="N71" s="15"/>
      <c r="O71" s="15"/>
    </row>
    <row r="72" spans="1:15" ht="12.75" customHeight="1" thickTop="1">
      <c r="A72" s="41"/>
      <c r="B72" s="604" t="s">
        <v>50</v>
      </c>
      <c r="C72" s="605">
        <v>1</v>
      </c>
      <c r="D72" s="631" t="s">
        <v>23</v>
      </c>
      <c r="E72" s="605">
        <f>+F17</f>
        <v>1500</v>
      </c>
      <c r="F72" s="623">
        <f>ROUND(C72*E72,2)</f>
        <v>1500</v>
      </c>
      <c r="G72" s="25"/>
      <c r="H72" s="14"/>
      <c r="I72" s="14"/>
      <c r="J72" s="14"/>
      <c r="K72" s="15"/>
      <c r="L72" s="15"/>
      <c r="M72" s="15"/>
      <c r="N72" s="15"/>
      <c r="O72" s="15"/>
    </row>
    <row r="73" spans="1:15" ht="12.75" customHeight="1">
      <c r="A73" s="41"/>
      <c r="B73" s="609" t="s">
        <v>33</v>
      </c>
      <c r="C73" s="610"/>
      <c r="D73" s="643"/>
      <c r="E73" s="610"/>
      <c r="F73" s="613">
        <f>ROUND(C73*E73,2)</f>
        <v>0</v>
      </c>
      <c r="G73" s="25"/>
      <c r="H73" s="14"/>
      <c r="I73" s="14"/>
      <c r="J73" s="14"/>
      <c r="K73" s="15"/>
      <c r="L73" s="15"/>
      <c r="M73" s="15"/>
      <c r="N73" s="15"/>
      <c r="O73" s="15"/>
    </row>
    <row r="74" spans="1:15" ht="12.75" customHeight="1">
      <c r="A74" s="41"/>
      <c r="B74" s="614" t="s">
        <v>34</v>
      </c>
      <c r="C74" s="615">
        <v>1</v>
      </c>
      <c r="D74" s="632" t="s">
        <v>23</v>
      </c>
      <c r="E74" s="615">
        <v>12</v>
      </c>
      <c r="F74" s="613">
        <f>ROUND(C74*E74,2)</f>
        <v>12</v>
      </c>
      <c r="G74" s="25"/>
      <c r="H74" s="14"/>
      <c r="I74" s="14"/>
      <c r="J74" s="14"/>
      <c r="K74" s="15"/>
      <c r="L74" s="15"/>
      <c r="M74" s="15"/>
      <c r="N74" s="15"/>
      <c r="O74" s="15"/>
    </row>
    <row r="75" spans="1:15" ht="12.75" customHeight="1" thickBot="1">
      <c r="A75" s="41"/>
      <c r="B75" s="624"/>
      <c r="C75" s="634"/>
      <c r="D75" s="635"/>
      <c r="E75" s="636" t="s">
        <v>43</v>
      </c>
      <c r="F75" s="637">
        <f>SUM(F72:F74)</f>
        <v>1512</v>
      </c>
      <c r="G75" s="30"/>
      <c r="H75" s="14"/>
      <c r="I75" s="14"/>
      <c r="J75" s="14"/>
      <c r="K75" s="15"/>
      <c r="L75" s="15"/>
      <c r="M75" s="15"/>
      <c r="N75" s="15"/>
      <c r="O75" s="15"/>
    </row>
    <row r="76" spans="1:15" ht="13.5" customHeight="1" thickTop="1">
      <c r="A76" s="41"/>
      <c r="B76" s="600"/>
      <c r="C76" s="601"/>
      <c r="D76" s="602"/>
      <c r="E76" s="601"/>
      <c r="F76" s="601"/>
      <c r="G76" s="15"/>
      <c r="H76" s="14"/>
      <c r="I76" s="14"/>
      <c r="J76" s="14"/>
      <c r="K76" s="15"/>
      <c r="L76" s="15"/>
      <c r="M76" s="15"/>
      <c r="N76" s="15"/>
      <c r="O76" s="15"/>
    </row>
    <row r="77" spans="1:15" ht="12.75" customHeight="1" thickBot="1">
      <c r="A77" s="41"/>
      <c r="B77" s="603" t="s">
        <v>51</v>
      </c>
      <c r="C77" s="601"/>
      <c r="D77" s="600"/>
      <c r="E77" s="601"/>
      <c r="F77" s="601"/>
      <c r="G77" s="15"/>
      <c r="H77" s="14"/>
      <c r="I77" s="14"/>
      <c r="J77" s="14"/>
      <c r="K77" s="15"/>
      <c r="L77" s="15"/>
      <c r="M77" s="15"/>
      <c r="N77" s="15"/>
      <c r="O77" s="15"/>
    </row>
    <row r="78" spans="1:15" ht="12.75" customHeight="1" thickTop="1">
      <c r="A78" s="41"/>
      <c r="B78" s="604" t="s">
        <v>22</v>
      </c>
      <c r="C78" s="605">
        <v>1.02</v>
      </c>
      <c r="D78" s="631" t="s">
        <v>23</v>
      </c>
      <c r="E78" s="605">
        <f>+F75</f>
        <v>1512</v>
      </c>
      <c r="F78" s="623">
        <f>ROUND(C78*E78,2)</f>
        <v>1542.24</v>
      </c>
      <c r="G78" s="45"/>
      <c r="H78" s="14"/>
      <c r="I78" s="14"/>
      <c r="J78" s="14"/>
      <c r="K78" s="15"/>
      <c r="L78" s="15"/>
      <c r="M78" s="15"/>
      <c r="N78" s="15"/>
      <c r="O78" s="15"/>
    </row>
    <row r="79" spans="1:15" ht="12.75" customHeight="1">
      <c r="A79" s="41"/>
      <c r="B79" s="614" t="s">
        <v>38</v>
      </c>
      <c r="C79" s="615">
        <v>9.4600000000000009</v>
      </c>
      <c r="D79" s="632" t="s">
        <v>39</v>
      </c>
      <c r="E79" s="615">
        <f>F13</f>
        <v>250</v>
      </c>
      <c r="F79" s="613">
        <f>ROUND(C79*E79,2)</f>
        <v>2365</v>
      </c>
      <c r="G79" s="25"/>
      <c r="H79" s="14"/>
      <c r="I79" s="14"/>
      <c r="J79" s="14"/>
      <c r="K79" s="15"/>
      <c r="L79" s="15"/>
      <c r="M79" s="15"/>
      <c r="N79" s="15"/>
      <c r="O79" s="15"/>
    </row>
    <row r="80" spans="1:15" ht="12.75" customHeight="1">
      <c r="A80" s="41"/>
      <c r="B80" s="614" t="s">
        <v>17</v>
      </c>
      <c r="C80" s="615">
        <v>50</v>
      </c>
      <c r="D80" s="632" t="s">
        <v>40</v>
      </c>
      <c r="E80" s="615">
        <f>F12</f>
        <v>2.5</v>
      </c>
      <c r="F80" s="613">
        <f>ROUND(C80*E80,2)</f>
        <v>125</v>
      </c>
      <c r="G80" s="25"/>
      <c r="H80" s="14"/>
      <c r="I80" s="14"/>
      <c r="J80" s="14"/>
      <c r="K80" s="15"/>
      <c r="L80" s="15"/>
      <c r="M80" s="15"/>
      <c r="N80" s="15"/>
      <c r="O80" s="15"/>
    </row>
    <row r="81" spans="1:15" ht="12.75" customHeight="1">
      <c r="A81" s="41"/>
      <c r="B81" s="614" t="s">
        <v>21</v>
      </c>
      <c r="C81" s="615">
        <v>3.07</v>
      </c>
      <c r="D81" s="632" t="s">
        <v>39</v>
      </c>
      <c r="E81" s="615">
        <f>F14</f>
        <v>100</v>
      </c>
      <c r="F81" s="613">
        <f>ROUND(C81*E81,2)</f>
        <v>307</v>
      </c>
      <c r="G81" s="25"/>
      <c r="H81" s="14"/>
      <c r="I81" s="14"/>
      <c r="J81" s="14"/>
      <c r="K81" s="15"/>
      <c r="L81" s="15"/>
      <c r="M81" s="15"/>
      <c r="N81" s="15"/>
      <c r="O81" s="15"/>
    </row>
    <row r="82" spans="1:15" ht="12.75" customHeight="1">
      <c r="A82" s="41"/>
      <c r="B82" s="614" t="s">
        <v>52</v>
      </c>
      <c r="C82" s="615">
        <v>0.5</v>
      </c>
      <c r="D82" s="632" t="s">
        <v>53</v>
      </c>
      <c r="E82" s="615">
        <v>650</v>
      </c>
      <c r="F82" s="613">
        <f>ROUND(C82*E82,2)</f>
        <v>325</v>
      </c>
      <c r="G82" s="25"/>
      <c r="H82" s="14"/>
      <c r="I82" s="14"/>
      <c r="J82" s="14"/>
      <c r="K82" s="15"/>
      <c r="L82" s="15"/>
      <c r="M82" s="15"/>
      <c r="N82" s="15"/>
      <c r="O82" s="15"/>
    </row>
    <row r="83" spans="1:15" ht="12.75" customHeight="1">
      <c r="A83" s="41"/>
      <c r="B83" s="614" t="s">
        <v>54</v>
      </c>
      <c r="C83" s="615"/>
      <c r="D83" s="632"/>
      <c r="E83" s="615"/>
      <c r="F83" s="633">
        <f>SUM(F79+F80+F78+F81)*0.03</f>
        <v>130.18</v>
      </c>
      <c r="G83" s="42"/>
      <c r="H83" s="14"/>
      <c r="I83" s="14"/>
      <c r="J83" s="14"/>
      <c r="K83" s="15"/>
      <c r="L83" s="15"/>
      <c r="M83" s="15"/>
      <c r="N83" s="15"/>
      <c r="O83" s="15"/>
    </row>
    <row r="84" spans="1:15" ht="12.75" customHeight="1" thickBot="1">
      <c r="A84" s="41"/>
      <c r="B84" s="624" t="s">
        <v>55</v>
      </c>
      <c r="C84" s="634"/>
      <c r="D84" s="635"/>
      <c r="E84" s="636" t="s">
        <v>43</v>
      </c>
      <c r="F84" s="637">
        <f>SUM(F78:F83)</f>
        <v>4794.42</v>
      </c>
      <c r="G84" s="30"/>
      <c r="H84" s="14"/>
      <c r="I84" s="14"/>
      <c r="J84" s="14"/>
      <c r="K84" s="15"/>
      <c r="L84" s="15"/>
      <c r="M84" s="15"/>
      <c r="N84" s="15"/>
      <c r="O84" s="15"/>
    </row>
    <row r="85" spans="1:15" ht="7.5" customHeight="1" thickTop="1">
      <c r="A85" s="41"/>
      <c r="B85" s="600"/>
      <c r="C85" s="601"/>
      <c r="D85" s="602"/>
      <c r="E85" s="644"/>
      <c r="F85" s="644"/>
      <c r="G85" s="47"/>
      <c r="H85" s="14"/>
      <c r="I85" s="14"/>
      <c r="J85" s="14"/>
      <c r="K85" s="15"/>
      <c r="L85" s="15"/>
      <c r="M85" s="15"/>
      <c r="N85" s="15"/>
      <c r="O85" s="15"/>
    </row>
    <row r="86" spans="1:15" ht="12.75" customHeight="1" thickBot="1">
      <c r="A86" s="41"/>
      <c r="B86" s="603" t="s">
        <v>56</v>
      </c>
      <c r="C86" s="601"/>
      <c r="D86" s="600"/>
      <c r="E86" s="601"/>
      <c r="F86" s="601"/>
      <c r="G86" s="15"/>
      <c r="H86" s="14"/>
      <c r="I86" s="14"/>
      <c r="J86" s="14"/>
      <c r="K86" s="15"/>
      <c r="L86" s="15"/>
      <c r="M86" s="15"/>
      <c r="N86" s="15"/>
      <c r="O86" s="15"/>
    </row>
    <row r="87" spans="1:15" ht="12.75" customHeight="1" thickTop="1">
      <c r="A87" s="41"/>
      <c r="B87" s="604" t="s">
        <v>57</v>
      </c>
      <c r="C87" s="605">
        <v>1</v>
      </c>
      <c r="D87" s="645" t="s">
        <v>23</v>
      </c>
      <c r="E87" s="605">
        <f>+F75</f>
        <v>1512</v>
      </c>
      <c r="F87" s="623">
        <f>ROUND(C87*E87,2)</f>
        <v>1512</v>
      </c>
      <c r="G87" s="42"/>
      <c r="H87" s="14"/>
      <c r="I87" s="14"/>
      <c r="J87" s="14"/>
      <c r="K87" s="15"/>
      <c r="L87" s="15"/>
      <c r="M87" s="15"/>
      <c r="N87" s="15"/>
      <c r="O87" s="15"/>
    </row>
    <row r="88" spans="1:15" ht="12.75" customHeight="1">
      <c r="A88" s="41"/>
      <c r="B88" s="614" t="s">
        <v>17</v>
      </c>
      <c r="C88" s="615">
        <v>69.040000000000006</v>
      </c>
      <c r="D88" s="646" t="s">
        <v>40</v>
      </c>
      <c r="E88" s="615">
        <f>F12</f>
        <v>2.5</v>
      </c>
      <c r="F88" s="613">
        <f>ROUND(C88*E88,2)</f>
        <v>172.6</v>
      </c>
      <c r="G88" s="42"/>
      <c r="H88" s="14"/>
      <c r="I88" s="14"/>
      <c r="J88" s="14"/>
      <c r="K88" s="15"/>
      <c r="L88" s="15"/>
      <c r="M88" s="15"/>
      <c r="N88" s="15"/>
      <c r="O88" s="15"/>
    </row>
    <row r="89" spans="1:15" ht="12.75" customHeight="1">
      <c r="A89" s="41"/>
      <c r="B89" s="614" t="s">
        <v>38</v>
      </c>
      <c r="C89" s="615">
        <v>11.51</v>
      </c>
      <c r="D89" s="646" t="s">
        <v>39</v>
      </c>
      <c r="E89" s="615">
        <f>F13</f>
        <v>250</v>
      </c>
      <c r="F89" s="613">
        <f>ROUND(C89*E89,2)</f>
        <v>2877.5</v>
      </c>
      <c r="G89" s="42"/>
      <c r="H89" s="14"/>
      <c r="I89" s="14"/>
      <c r="J89" s="14"/>
      <c r="K89" s="15"/>
      <c r="L89" s="15"/>
      <c r="M89" s="15"/>
      <c r="N89" s="15"/>
      <c r="O89" s="15"/>
    </row>
    <row r="90" spans="1:15" ht="12.75" customHeight="1">
      <c r="A90" s="41"/>
      <c r="B90" s="614" t="s">
        <v>52</v>
      </c>
      <c r="C90" s="615">
        <v>0.5</v>
      </c>
      <c r="D90" s="646" t="s">
        <v>53</v>
      </c>
      <c r="E90" s="615">
        <v>650</v>
      </c>
      <c r="F90" s="613">
        <f>ROUND(C90*E90,2)</f>
        <v>325</v>
      </c>
      <c r="G90" s="42"/>
      <c r="H90" s="14"/>
      <c r="I90" s="14"/>
      <c r="J90" s="14"/>
      <c r="K90" s="15"/>
      <c r="L90" s="15"/>
      <c r="M90" s="15"/>
      <c r="N90" s="15"/>
      <c r="O90" s="15"/>
    </row>
    <row r="91" spans="1:15" ht="12.75" customHeight="1">
      <c r="A91" s="41"/>
      <c r="B91" s="614" t="s">
        <v>54</v>
      </c>
      <c r="C91" s="615"/>
      <c r="D91" s="646"/>
      <c r="E91" s="615"/>
      <c r="F91" s="633">
        <f>SUM(F87+F88+F89)*0.03</f>
        <v>136.86000000000001</v>
      </c>
      <c r="G91" s="42"/>
      <c r="H91" s="14"/>
      <c r="I91" s="14"/>
      <c r="J91" s="14"/>
      <c r="K91" s="15"/>
      <c r="L91" s="15"/>
      <c r="M91" s="15"/>
      <c r="N91" s="15"/>
      <c r="O91" s="15"/>
    </row>
    <row r="92" spans="1:15" ht="12.75" customHeight="1" thickBot="1">
      <c r="A92" s="41"/>
      <c r="B92" s="624"/>
      <c r="C92" s="634"/>
      <c r="D92" s="647"/>
      <c r="E92" s="636" t="s">
        <v>43</v>
      </c>
      <c r="F92" s="637">
        <f>SUM(F87:F91)</f>
        <v>5023.96</v>
      </c>
      <c r="G92" s="30"/>
      <c r="H92" s="14"/>
      <c r="I92" s="14"/>
      <c r="J92" s="14"/>
      <c r="K92" s="15"/>
      <c r="L92" s="15"/>
      <c r="M92" s="15"/>
      <c r="N92" s="15"/>
      <c r="O92" s="15"/>
    </row>
    <row r="93" spans="1:15" ht="10.5" customHeight="1" thickTop="1">
      <c r="A93" s="41"/>
      <c r="B93" s="626"/>
      <c r="C93" s="629"/>
      <c r="D93" s="626"/>
      <c r="E93" s="639"/>
      <c r="F93" s="639"/>
      <c r="G93" s="30"/>
      <c r="H93" s="14"/>
      <c r="I93" s="14"/>
      <c r="J93" s="14"/>
      <c r="K93" s="15"/>
      <c r="L93" s="15"/>
      <c r="M93" s="15"/>
      <c r="N93" s="15"/>
      <c r="O93" s="15"/>
    </row>
    <row r="94" spans="1:15" ht="12.75" customHeight="1" thickBot="1">
      <c r="A94" s="41"/>
      <c r="B94" s="603" t="s">
        <v>58</v>
      </c>
      <c r="C94" s="601"/>
      <c r="D94" s="602"/>
      <c r="E94" s="601"/>
      <c r="F94" s="601"/>
      <c r="G94" s="15"/>
      <c r="H94" s="14"/>
      <c r="I94" s="14"/>
      <c r="J94" s="14"/>
      <c r="K94" s="15"/>
      <c r="L94" s="15"/>
      <c r="M94" s="15"/>
      <c r="N94" s="15"/>
      <c r="O94" s="15"/>
    </row>
    <row r="95" spans="1:15" ht="12.75" customHeight="1" thickTop="1">
      <c r="A95" s="41"/>
      <c r="B95" s="604" t="s">
        <v>59</v>
      </c>
      <c r="C95" s="605">
        <v>0.03</v>
      </c>
      <c r="D95" s="645" t="s">
        <v>23</v>
      </c>
      <c r="E95" s="648">
        <f>+F84</f>
        <v>4794.42</v>
      </c>
      <c r="F95" s="623">
        <f>ROUND(C95*E95,2)</f>
        <v>143.83000000000001</v>
      </c>
      <c r="G95" s="42"/>
      <c r="H95" s="14"/>
      <c r="I95" s="14"/>
      <c r="J95" s="14"/>
      <c r="K95" s="15"/>
      <c r="L95" s="15"/>
      <c r="M95" s="15"/>
      <c r="N95" s="15"/>
      <c r="O95" s="15"/>
    </row>
    <row r="96" spans="1:15" ht="12.75" customHeight="1">
      <c r="A96" s="41"/>
      <c r="B96" s="614" t="s">
        <v>60</v>
      </c>
      <c r="C96" s="615">
        <v>0.03</v>
      </c>
      <c r="D96" s="646" t="s">
        <v>61</v>
      </c>
      <c r="E96" s="649">
        <v>45</v>
      </c>
      <c r="F96" s="613">
        <f>ROUND(C96*E96,2)</f>
        <v>1.35</v>
      </c>
      <c r="G96" s="42"/>
      <c r="H96" s="14"/>
      <c r="I96" s="14"/>
      <c r="J96" s="14"/>
      <c r="K96" s="15"/>
      <c r="L96" s="15"/>
      <c r="M96" s="15"/>
      <c r="N96" s="15"/>
      <c r="O96" s="15"/>
    </row>
    <row r="97" spans="1:15" ht="12.75" customHeight="1">
      <c r="A97" s="41"/>
      <c r="B97" s="614" t="s">
        <v>62</v>
      </c>
      <c r="C97" s="615">
        <v>1</v>
      </c>
      <c r="D97" s="646" t="s">
        <v>63</v>
      </c>
      <c r="E97" s="649">
        <v>6</v>
      </c>
      <c r="F97" s="613">
        <f>ROUND(C97*E97,2)</f>
        <v>6</v>
      </c>
      <c r="G97" s="42"/>
      <c r="H97" s="14"/>
      <c r="I97" s="14"/>
      <c r="J97" s="14"/>
      <c r="K97" s="15"/>
      <c r="L97" s="15"/>
      <c r="M97" s="15"/>
      <c r="N97" s="15"/>
      <c r="O97" s="15"/>
    </row>
    <row r="98" spans="1:15" ht="12.75" customHeight="1">
      <c r="A98" s="41"/>
      <c r="B98" s="614" t="s">
        <v>64</v>
      </c>
      <c r="C98" s="615">
        <v>1</v>
      </c>
      <c r="D98" s="646" t="s">
        <v>65</v>
      </c>
      <c r="E98" s="649">
        <v>95.62</v>
      </c>
      <c r="F98" s="613">
        <f>ROUND(C98*E98,2)</f>
        <v>95.62</v>
      </c>
      <c r="G98" s="42"/>
      <c r="H98" s="14"/>
      <c r="I98" s="14">
        <v>90</v>
      </c>
      <c r="J98" s="14"/>
      <c r="K98" s="15"/>
      <c r="L98" s="15"/>
      <c r="M98" s="15"/>
      <c r="N98" s="15"/>
      <c r="O98" s="15"/>
    </row>
    <row r="99" spans="1:15" ht="12.75" customHeight="1" thickBot="1">
      <c r="A99" s="41"/>
      <c r="B99" s="624"/>
      <c r="C99" s="634"/>
      <c r="D99" s="647"/>
      <c r="E99" s="636" t="s">
        <v>43</v>
      </c>
      <c r="F99" s="637">
        <f>ROUND(SUM(F95:F98),2)</f>
        <v>246.8</v>
      </c>
      <c r="G99" s="53"/>
      <c r="H99" s="14"/>
      <c r="I99" s="14"/>
      <c r="J99" s="14"/>
      <c r="K99" s="15"/>
      <c r="L99" s="15"/>
      <c r="M99" s="15"/>
      <c r="N99" s="15"/>
      <c r="O99" s="15"/>
    </row>
    <row r="100" spans="1:15" ht="13.5" customHeight="1" thickTop="1">
      <c r="A100" s="41"/>
      <c r="B100" s="650" t="s">
        <v>66</v>
      </c>
      <c r="C100" s="651">
        <f>($C$79*6*$C$95)/128</f>
        <v>0.01</v>
      </c>
      <c r="D100" s="652" t="s">
        <v>18</v>
      </c>
      <c r="E100" s="653">
        <v>330.6</v>
      </c>
      <c r="F100" s="654">
        <f>(C100*E100)+F99</f>
        <v>250.11</v>
      </c>
      <c r="G100" s="59"/>
      <c r="H100" s="14"/>
      <c r="I100" s="14"/>
      <c r="J100" s="14"/>
      <c r="K100" s="15"/>
      <c r="L100" s="15"/>
      <c r="M100" s="15"/>
      <c r="N100" s="15"/>
      <c r="O100" s="15"/>
    </row>
    <row r="101" spans="1:15" ht="13.5" customHeight="1" thickBot="1">
      <c r="A101" s="41"/>
      <c r="B101" s="655" t="s">
        <v>67</v>
      </c>
      <c r="C101" s="634">
        <f>($C$79*4.5*$C$95)/128</f>
        <v>0.01</v>
      </c>
      <c r="D101" s="656" t="s">
        <v>18</v>
      </c>
      <c r="E101" s="657">
        <v>749.36</v>
      </c>
      <c r="F101" s="658">
        <f>(C101*E101)+F99</f>
        <v>254.29</v>
      </c>
      <c r="G101" s="59"/>
      <c r="H101" s="14"/>
      <c r="I101" s="14"/>
      <c r="J101" s="14"/>
      <c r="K101" s="15"/>
      <c r="L101" s="15"/>
      <c r="M101" s="15"/>
      <c r="N101" s="15"/>
      <c r="O101" s="15"/>
    </row>
    <row r="102" spans="1:15" ht="13.5" customHeight="1" thickTop="1">
      <c r="A102" s="41"/>
      <c r="B102" s="600"/>
      <c r="C102" s="601"/>
      <c r="D102" s="602"/>
      <c r="E102" s="644"/>
      <c r="F102" s="644"/>
      <c r="G102" s="59"/>
      <c r="H102" s="14"/>
      <c r="I102" s="14"/>
      <c r="J102" s="14"/>
      <c r="K102" s="15"/>
      <c r="L102" s="15"/>
      <c r="M102" s="15"/>
      <c r="N102" s="15"/>
      <c r="O102" s="15"/>
    </row>
    <row r="103" spans="1:15" ht="12.75" customHeight="1" thickBot="1">
      <c r="A103" s="41"/>
      <c r="B103" s="641" t="s">
        <v>68</v>
      </c>
      <c r="C103" s="601"/>
      <c r="D103" s="600"/>
      <c r="E103" s="601"/>
      <c r="F103" s="601"/>
      <c r="G103" s="15"/>
      <c r="H103" s="14"/>
      <c r="I103" s="14"/>
      <c r="J103" s="14"/>
      <c r="K103" s="15"/>
      <c r="L103" s="15"/>
      <c r="M103" s="15"/>
      <c r="N103" s="15"/>
      <c r="O103" s="15"/>
    </row>
    <row r="104" spans="1:15" ht="12.75" customHeight="1" thickTop="1">
      <c r="A104" s="41"/>
      <c r="B104" s="604" t="s">
        <v>69</v>
      </c>
      <c r="C104" s="605">
        <v>0.03</v>
      </c>
      <c r="D104" s="645" t="s">
        <v>23</v>
      </c>
      <c r="E104" s="648">
        <f>+F84</f>
        <v>4794.42</v>
      </c>
      <c r="F104" s="623">
        <f>ROUND(C104*E104,2)</f>
        <v>143.83000000000001</v>
      </c>
      <c r="G104" s="42"/>
      <c r="H104" s="14"/>
      <c r="I104" s="14"/>
      <c r="J104" s="14"/>
      <c r="K104" s="15"/>
      <c r="L104" s="15"/>
      <c r="M104" s="15"/>
      <c r="N104" s="15"/>
      <c r="O104" s="15"/>
    </row>
    <row r="105" spans="1:15" ht="12.75" customHeight="1">
      <c r="A105" s="41"/>
      <c r="B105" s="614" t="s">
        <v>60</v>
      </c>
      <c r="C105" s="615">
        <v>0.03</v>
      </c>
      <c r="D105" s="646" t="s">
        <v>61</v>
      </c>
      <c r="E105" s="649">
        <v>45</v>
      </c>
      <c r="F105" s="613">
        <f>ROUND(C105*E105,2)</f>
        <v>1.35</v>
      </c>
      <c r="G105" s="42"/>
      <c r="H105" s="14"/>
      <c r="I105" s="14"/>
      <c r="J105" s="14"/>
      <c r="K105" s="15"/>
      <c r="L105" s="15"/>
      <c r="M105" s="15"/>
      <c r="N105" s="15"/>
      <c r="O105" s="15"/>
    </row>
    <row r="106" spans="1:15" ht="12.75" customHeight="1">
      <c r="A106" s="41"/>
      <c r="B106" s="614" t="s">
        <v>62</v>
      </c>
      <c r="C106" s="615">
        <v>1</v>
      </c>
      <c r="D106" s="646" t="s">
        <v>63</v>
      </c>
      <c r="E106" s="649">
        <v>6</v>
      </c>
      <c r="F106" s="613">
        <f>ROUND(C106*E106,2)</f>
        <v>6</v>
      </c>
      <c r="G106" s="42"/>
      <c r="H106" s="14"/>
      <c r="I106" s="14"/>
      <c r="J106" s="14"/>
      <c r="K106" s="15"/>
      <c r="L106" s="15"/>
      <c r="M106" s="15"/>
      <c r="N106" s="15"/>
      <c r="O106" s="15"/>
    </row>
    <row r="107" spans="1:15" ht="12.75" customHeight="1">
      <c r="A107" s="41"/>
      <c r="B107" s="614" t="s">
        <v>70</v>
      </c>
      <c r="C107" s="615">
        <v>0.05</v>
      </c>
      <c r="D107" s="646" t="s">
        <v>20</v>
      </c>
      <c r="E107" s="649">
        <f>F13</f>
        <v>250</v>
      </c>
      <c r="F107" s="613">
        <f>ROUND(C107*E107,2)</f>
        <v>12.5</v>
      </c>
      <c r="G107" s="42"/>
      <c r="H107" s="14"/>
      <c r="I107" s="14"/>
      <c r="J107" s="14"/>
      <c r="K107" s="15"/>
      <c r="L107" s="15"/>
      <c r="M107" s="15"/>
      <c r="N107" s="15"/>
      <c r="O107" s="15"/>
    </row>
    <row r="108" spans="1:15" ht="12.75" customHeight="1">
      <c r="A108" s="41"/>
      <c r="B108" s="614" t="s">
        <v>71</v>
      </c>
      <c r="C108" s="615">
        <v>1</v>
      </c>
      <c r="D108" s="646" t="s">
        <v>65</v>
      </c>
      <c r="E108" s="649">
        <v>110.26</v>
      </c>
      <c r="F108" s="613">
        <f>ROUND(C108*E108,2)</f>
        <v>110.26</v>
      </c>
      <c r="G108" s="42"/>
      <c r="H108" s="14"/>
      <c r="I108" s="14"/>
      <c r="J108" s="14"/>
      <c r="K108" s="15"/>
      <c r="L108" s="15"/>
      <c r="M108" s="15"/>
      <c r="N108" s="15"/>
      <c r="O108" s="15"/>
    </row>
    <row r="109" spans="1:15" ht="12.75" customHeight="1" thickBot="1">
      <c r="A109" s="41"/>
      <c r="B109" s="624"/>
      <c r="C109" s="634"/>
      <c r="D109" s="635"/>
      <c r="E109" s="636" t="s">
        <v>43</v>
      </c>
      <c r="F109" s="637">
        <f>ROUND(SUM(F104:F108),2)</f>
        <v>273.94</v>
      </c>
      <c r="G109" s="53"/>
      <c r="H109" s="14"/>
      <c r="I109" s="14"/>
      <c r="J109" s="14"/>
      <c r="K109" s="15"/>
      <c r="L109" s="15"/>
      <c r="M109" s="15"/>
      <c r="N109" s="15"/>
      <c r="O109" s="15"/>
    </row>
    <row r="110" spans="1:15" ht="12.75" customHeight="1" thickTop="1" thickBot="1">
      <c r="A110" s="41"/>
      <c r="B110" s="659" t="s">
        <v>72</v>
      </c>
      <c r="C110" s="660"/>
      <c r="D110" s="661"/>
      <c r="E110" s="662"/>
      <c r="F110" s="663">
        <f>ROUND(F109-F107,2)</f>
        <v>261.44</v>
      </c>
      <c r="G110" s="53"/>
      <c r="H110" s="14"/>
      <c r="I110" s="14"/>
      <c r="J110" s="14"/>
      <c r="K110" s="15"/>
      <c r="L110" s="15"/>
      <c r="M110" s="15"/>
      <c r="N110" s="15"/>
      <c r="O110" s="15"/>
    </row>
    <row r="111" spans="1:15" ht="12.75" customHeight="1" thickTop="1">
      <c r="A111" s="41"/>
      <c r="B111" s="664" t="s">
        <v>73</v>
      </c>
      <c r="C111" s="605">
        <f>($C$79*6*$C$104)/128</f>
        <v>0.01</v>
      </c>
      <c r="D111" s="606" t="s">
        <v>40</v>
      </c>
      <c r="E111" s="653">
        <v>330.6</v>
      </c>
      <c r="F111" s="665">
        <f>(C111*E111)+F110</f>
        <v>264.75</v>
      </c>
      <c r="G111" s="53"/>
      <c r="H111" s="14"/>
      <c r="I111" s="14"/>
      <c r="J111" s="14"/>
      <c r="K111" s="15"/>
      <c r="L111" s="15"/>
      <c r="M111" s="15"/>
      <c r="N111" s="15"/>
      <c r="O111" s="15"/>
    </row>
    <row r="112" spans="1:15" ht="14.25" customHeight="1">
      <c r="A112" s="41"/>
      <c r="B112" s="666" t="s">
        <v>74</v>
      </c>
      <c r="C112" s="615">
        <f>($C$79*6*$C$104)/128</f>
        <v>0.01</v>
      </c>
      <c r="D112" s="616" t="s">
        <v>40</v>
      </c>
      <c r="E112" s="667">
        <v>330.6</v>
      </c>
      <c r="F112" s="668">
        <f>(C112*E112)+F109</f>
        <v>277.25</v>
      </c>
      <c r="G112" s="76"/>
      <c r="H112" s="14"/>
      <c r="I112" s="14"/>
      <c r="J112" s="14"/>
      <c r="K112" s="15"/>
      <c r="L112" s="15"/>
      <c r="M112" s="15"/>
      <c r="N112" s="15"/>
      <c r="O112" s="15"/>
    </row>
    <row r="113" spans="1:15" ht="14.25" customHeight="1">
      <c r="A113" s="41"/>
      <c r="B113" s="666" t="s">
        <v>75</v>
      </c>
      <c r="C113" s="615">
        <f>($C$79*4.5*$C$104)/128</f>
        <v>0.01</v>
      </c>
      <c r="D113" s="616" t="s">
        <v>40</v>
      </c>
      <c r="E113" s="667">
        <v>749.36</v>
      </c>
      <c r="F113" s="668">
        <f>(C113*E113)+F110</f>
        <v>268.93</v>
      </c>
      <c r="G113" s="76"/>
      <c r="H113" s="14"/>
      <c r="I113" s="14"/>
      <c r="J113" s="14"/>
      <c r="K113" s="15"/>
      <c r="L113" s="15"/>
      <c r="M113" s="15"/>
      <c r="N113" s="15"/>
      <c r="O113" s="15"/>
    </row>
    <row r="114" spans="1:15" ht="14.25" customHeight="1" thickBot="1">
      <c r="A114" s="41"/>
      <c r="B114" s="655" t="s">
        <v>76</v>
      </c>
      <c r="C114" s="634">
        <f>($C$79*4.5*$C$104)/128</f>
        <v>0.01</v>
      </c>
      <c r="D114" s="656" t="s">
        <v>40</v>
      </c>
      <c r="E114" s="669">
        <v>749.36</v>
      </c>
      <c r="F114" s="668">
        <f>(C114*E114)+F109</f>
        <v>281.43</v>
      </c>
      <c r="G114" s="76"/>
      <c r="H114" s="14"/>
      <c r="I114" s="14"/>
      <c r="J114" s="14"/>
      <c r="K114" s="15"/>
      <c r="L114" s="15"/>
      <c r="M114" s="15"/>
      <c r="N114" s="15"/>
      <c r="O114" s="15"/>
    </row>
    <row r="115" spans="1:15" ht="9" customHeight="1" thickTop="1">
      <c r="A115" s="41"/>
      <c r="B115" s="600"/>
      <c r="C115" s="601"/>
      <c r="D115" s="602"/>
      <c r="E115" s="644"/>
      <c r="F115" s="670"/>
      <c r="G115" s="76"/>
      <c r="H115" s="14"/>
      <c r="I115" s="14"/>
      <c r="J115" s="14"/>
      <c r="K115" s="15"/>
      <c r="L115" s="15"/>
      <c r="M115" s="15"/>
      <c r="N115" s="15"/>
      <c r="O115" s="15"/>
    </row>
    <row r="116" spans="1:15" ht="12.75" customHeight="1" thickBot="1">
      <c r="A116" s="41"/>
      <c r="B116" s="641" t="s">
        <v>77</v>
      </c>
      <c r="C116" s="601"/>
      <c r="D116" s="602"/>
      <c r="E116" s="601"/>
      <c r="F116" s="601"/>
      <c r="G116" s="15"/>
      <c r="H116" s="14"/>
      <c r="I116" s="14"/>
      <c r="J116" s="14"/>
      <c r="K116" s="15"/>
      <c r="L116" s="15"/>
      <c r="M116" s="15"/>
      <c r="N116" s="15"/>
      <c r="O116" s="15"/>
    </row>
    <row r="117" spans="1:15" ht="12.75" customHeight="1" thickTop="1">
      <c r="A117" s="41"/>
      <c r="B117" s="604" t="s">
        <v>78</v>
      </c>
      <c r="C117" s="605">
        <v>0.06</v>
      </c>
      <c r="D117" s="645" t="s">
        <v>23</v>
      </c>
      <c r="E117" s="648">
        <f>+F92</f>
        <v>5023.96</v>
      </c>
      <c r="F117" s="623">
        <f>ROUND(C117*E117,2)</f>
        <v>301.44</v>
      </c>
      <c r="G117" s="42"/>
      <c r="H117" s="14"/>
      <c r="I117" s="14"/>
      <c r="J117" s="14"/>
      <c r="K117" s="15"/>
      <c r="L117" s="15"/>
      <c r="M117" s="15"/>
      <c r="N117" s="15"/>
      <c r="O117" s="15"/>
    </row>
    <row r="118" spans="1:15" ht="12.75" customHeight="1">
      <c r="A118" s="41"/>
      <c r="B118" s="614" t="s">
        <v>60</v>
      </c>
      <c r="C118" s="615">
        <v>0.33</v>
      </c>
      <c r="D118" s="632" t="s">
        <v>61</v>
      </c>
      <c r="E118" s="649">
        <v>45</v>
      </c>
      <c r="F118" s="613">
        <f>ROUND(C118*E118,2)</f>
        <v>14.85</v>
      </c>
      <c r="G118" s="42"/>
      <c r="H118" s="14"/>
      <c r="I118" s="14"/>
      <c r="J118" s="14"/>
      <c r="K118" s="15"/>
      <c r="L118" s="15"/>
      <c r="M118" s="15"/>
      <c r="N118" s="15"/>
      <c r="O118" s="15"/>
    </row>
    <row r="119" spans="1:15" ht="12.75" customHeight="1">
      <c r="A119" s="41"/>
      <c r="B119" s="614" t="s">
        <v>62</v>
      </c>
      <c r="C119" s="615">
        <v>1</v>
      </c>
      <c r="D119" s="632" t="s">
        <v>63</v>
      </c>
      <c r="E119" s="649">
        <v>6</v>
      </c>
      <c r="F119" s="613">
        <f>ROUND(C119*E119,2)</f>
        <v>6</v>
      </c>
      <c r="G119" s="42"/>
      <c r="H119" s="14"/>
      <c r="I119" s="14"/>
      <c r="J119" s="14"/>
      <c r="K119" s="15"/>
      <c r="L119" s="15"/>
      <c r="M119" s="15"/>
      <c r="N119" s="15"/>
      <c r="O119" s="15"/>
    </row>
    <row r="120" spans="1:15" ht="12.75" customHeight="1">
      <c r="A120" s="41"/>
      <c r="B120" s="614" t="s">
        <v>79</v>
      </c>
      <c r="C120" s="615">
        <v>1</v>
      </c>
      <c r="D120" s="632" t="s">
        <v>63</v>
      </c>
      <c r="E120" s="649">
        <v>6</v>
      </c>
      <c r="F120" s="613">
        <f>ROUND(C120*E120,2)</f>
        <v>6</v>
      </c>
      <c r="G120" s="42"/>
      <c r="H120" s="14"/>
      <c r="I120" s="14"/>
      <c r="J120" s="14"/>
      <c r="K120" s="15"/>
      <c r="L120" s="15"/>
      <c r="M120" s="15"/>
      <c r="N120" s="15"/>
      <c r="O120" s="15"/>
    </row>
    <row r="121" spans="1:15" ht="12.75" customHeight="1">
      <c r="A121" s="41"/>
      <c r="B121" s="614" t="s">
        <v>64</v>
      </c>
      <c r="C121" s="615">
        <v>1</v>
      </c>
      <c r="D121" s="632" t="s">
        <v>65</v>
      </c>
      <c r="E121" s="649">
        <v>115.23</v>
      </c>
      <c r="F121" s="613">
        <f>ROUND(C121*E121,2)</f>
        <v>115.23</v>
      </c>
      <c r="G121" s="42"/>
      <c r="H121" s="14"/>
      <c r="I121" s="14"/>
      <c r="J121" s="14"/>
      <c r="K121" s="15"/>
      <c r="L121" s="15"/>
      <c r="M121" s="15"/>
      <c r="N121" s="15"/>
      <c r="O121" s="15"/>
    </row>
    <row r="122" spans="1:15" ht="12.75" customHeight="1" thickBot="1">
      <c r="A122" s="41"/>
      <c r="B122" s="624"/>
      <c r="C122" s="634"/>
      <c r="D122" s="671" t="s">
        <v>80</v>
      </c>
      <c r="E122" s="621" t="s">
        <v>81</v>
      </c>
      <c r="F122" s="637">
        <f>ROUND(SUM(F117:F121),2)</f>
        <v>443.52</v>
      </c>
      <c r="G122" s="53"/>
      <c r="H122" s="14"/>
      <c r="I122" s="14"/>
      <c r="J122" s="14"/>
      <c r="K122" s="15"/>
      <c r="L122" s="15"/>
      <c r="M122" s="15"/>
      <c r="N122" s="15"/>
      <c r="O122" s="15"/>
    </row>
    <row r="123" spans="1:15" ht="12.75" customHeight="1" thickTop="1">
      <c r="A123" s="41"/>
      <c r="B123" s="672" t="s">
        <v>82</v>
      </c>
      <c r="C123" s="673"/>
      <c r="D123" s="674"/>
      <c r="E123" s="675"/>
      <c r="F123" s="676">
        <f>ROUND(F122+F107,2)</f>
        <v>456.02</v>
      </c>
      <c r="G123" s="53"/>
      <c r="H123" s="14"/>
      <c r="I123" s="14"/>
      <c r="J123" s="14"/>
      <c r="K123" s="15"/>
      <c r="L123" s="15"/>
      <c r="M123" s="15"/>
      <c r="N123" s="15"/>
      <c r="O123" s="15"/>
    </row>
    <row r="124" spans="1:15" ht="12.75" customHeight="1" thickBot="1">
      <c r="A124" s="41"/>
      <c r="B124" s="655" t="s">
        <v>83</v>
      </c>
      <c r="C124" s="634">
        <f>($C$79*6*$C$117)/128</f>
        <v>0.03</v>
      </c>
      <c r="D124" s="656" t="s">
        <v>40</v>
      </c>
      <c r="E124" s="677">
        <v>330.6</v>
      </c>
      <c r="F124" s="658">
        <f>(C124*E124)+F123</f>
        <v>465.94</v>
      </c>
      <c r="G124" s="53"/>
      <c r="H124" s="14"/>
      <c r="I124" s="14"/>
      <c r="J124" s="14"/>
      <c r="K124" s="15"/>
      <c r="L124" s="15"/>
      <c r="M124" s="15"/>
      <c r="N124" s="15"/>
      <c r="O124" s="15"/>
    </row>
    <row r="125" spans="1:15" ht="14.25" customHeight="1" thickTop="1">
      <c r="A125" s="41"/>
      <c r="B125" s="600"/>
      <c r="C125" s="601"/>
      <c r="D125" s="602"/>
      <c r="E125" s="644"/>
      <c r="F125" s="670"/>
      <c r="G125" s="76"/>
      <c r="H125" s="14"/>
      <c r="I125" s="14"/>
      <c r="J125" s="14"/>
      <c r="K125" s="15"/>
      <c r="L125" s="15"/>
      <c r="M125" s="15"/>
      <c r="N125" s="15"/>
      <c r="O125" s="15"/>
    </row>
    <row r="126" spans="1:15" ht="12.75" customHeight="1" thickBot="1">
      <c r="A126" s="41"/>
      <c r="B126" s="641" t="s">
        <v>84</v>
      </c>
      <c r="C126" s="601"/>
      <c r="D126" s="600"/>
      <c r="E126" s="601"/>
      <c r="F126" s="601"/>
      <c r="G126" s="15"/>
      <c r="H126" s="15"/>
      <c r="I126" s="4"/>
      <c r="J126" s="4"/>
    </row>
    <row r="127" spans="1:15" ht="12.75" customHeight="1" thickTop="1">
      <c r="A127" s="41"/>
      <c r="B127" s="604" t="s">
        <v>85</v>
      </c>
      <c r="C127" s="605">
        <v>0.06</v>
      </c>
      <c r="D127" s="631" t="s">
        <v>23</v>
      </c>
      <c r="E127" s="648">
        <f>F92</f>
        <v>5023.96</v>
      </c>
      <c r="F127" s="623">
        <f>ROUND(C127*E127,2)</f>
        <v>301.44</v>
      </c>
      <c r="G127" s="42"/>
      <c r="H127" s="15"/>
      <c r="I127" s="4"/>
      <c r="J127" s="4"/>
    </row>
    <row r="128" spans="1:15" ht="12.75" customHeight="1">
      <c r="A128" s="41"/>
      <c r="B128" s="614" t="s">
        <v>60</v>
      </c>
      <c r="C128" s="615">
        <v>0.33</v>
      </c>
      <c r="D128" s="632" t="s">
        <v>61</v>
      </c>
      <c r="E128" s="649">
        <v>45</v>
      </c>
      <c r="F128" s="613">
        <f>ROUND(C128*E128,2)</f>
        <v>14.85</v>
      </c>
      <c r="G128" s="42"/>
      <c r="H128" s="15"/>
      <c r="I128" s="4"/>
      <c r="J128" s="4"/>
    </row>
    <row r="129" spans="1:15" ht="12.75" customHeight="1">
      <c r="A129" s="41"/>
      <c r="B129" s="614" t="s">
        <v>86</v>
      </c>
      <c r="C129" s="615">
        <v>1</v>
      </c>
      <c r="D129" s="632" t="s">
        <v>63</v>
      </c>
      <c r="E129" s="649">
        <v>6</v>
      </c>
      <c r="F129" s="613">
        <f>ROUND(C129*E129,2)</f>
        <v>6</v>
      </c>
      <c r="G129" s="42"/>
      <c r="H129" s="15"/>
      <c r="I129" s="4"/>
      <c r="J129" s="4"/>
    </row>
    <row r="130" spans="1:15" ht="12.75" customHeight="1">
      <c r="A130" s="41"/>
      <c r="B130" s="614" t="s">
        <v>64</v>
      </c>
      <c r="C130" s="615">
        <v>1</v>
      </c>
      <c r="D130" s="632" t="s">
        <v>65</v>
      </c>
      <c r="E130" s="649">
        <v>100</v>
      </c>
      <c r="F130" s="613">
        <f>ROUND(C130*E130,2)</f>
        <v>100</v>
      </c>
      <c r="G130" s="42"/>
      <c r="H130" s="15"/>
      <c r="I130" s="4"/>
      <c r="J130" s="4"/>
    </row>
    <row r="131" spans="1:15" ht="12.75" customHeight="1" thickBot="1">
      <c r="A131" s="41"/>
      <c r="B131" s="624"/>
      <c r="C131" s="634"/>
      <c r="D131" s="671" t="s">
        <v>80</v>
      </c>
      <c r="E131" s="621" t="s">
        <v>81</v>
      </c>
      <c r="F131" s="637">
        <f>ROUND(SUM(F127:F130),2)</f>
        <v>422.29</v>
      </c>
      <c r="G131" s="53"/>
      <c r="H131" s="15"/>
      <c r="I131" s="4"/>
      <c r="J131" s="4"/>
    </row>
    <row r="132" spans="1:15" ht="12.75" customHeight="1" thickTop="1">
      <c r="A132" s="41"/>
      <c r="B132" s="678"/>
      <c r="C132" s="629"/>
      <c r="D132" s="679"/>
      <c r="E132" s="639"/>
      <c r="F132" s="639"/>
      <c r="G132" s="53"/>
      <c r="H132" s="15"/>
      <c r="I132" s="4"/>
      <c r="J132" s="4"/>
    </row>
    <row r="133" spans="1:15" ht="12.75" customHeight="1" thickBot="1">
      <c r="A133" s="41"/>
      <c r="B133" s="641" t="s">
        <v>87</v>
      </c>
      <c r="C133" s="601"/>
      <c r="D133" s="602"/>
      <c r="E133" s="601"/>
      <c r="F133" s="601"/>
      <c r="G133" s="15"/>
      <c r="H133" s="14"/>
      <c r="I133" s="4"/>
      <c r="J133" s="4"/>
    </row>
    <row r="134" spans="1:15" ht="12.75" customHeight="1" thickTop="1">
      <c r="A134" s="41"/>
      <c r="B134" s="604" t="s">
        <v>88</v>
      </c>
      <c r="C134" s="680">
        <v>4.3E-3</v>
      </c>
      <c r="D134" s="631" t="s">
        <v>23</v>
      </c>
      <c r="E134" s="648">
        <f>+F84</f>
        <v>4794.42</v>
      </c>
      <c r="F134" s="623">
        <f>ROUND(C134*E134,2)</f>
        <v>20.62</v>
      </c>
      <c r="G134" s="42"/>
      <c r="H134" s="14"/>
      <c r="I134" s="14"/>
      <c r="J134" s="14"/>
      <c r="K134" s="15"/>
      <c r="L134" s="15"/>
      <c r="M134" s="15"/>
      <c r="N134" s="15"/>
      <c r="O134" s="15"/>
    </row>
    <row r="135" spans="1:15" ht="12.75" customHeight="1">
      <c r="A135" s="41"/>
      <c r="B135" s="614" t="s">
        <v>60</v>
      </c>
      <c r="C135" s="615">
        <v>0.11</v>
      </c>
      <c r="D135" s="632" t="s">
        <v>61</v>
      </c>
      <c r="E135" s="649">
        <v>45</v>
      </c>
      <c r="F135" s="613">
        <f>ROUND(C135*E135,2)</f>
        <v>4.95</v>
      </c>
      <c r="G135" s="42"/>
      <c r="H135" s="14"/>
      <c r="I135" s="14"/>
      <c r="J135" s="14"/>
      <c r="K135" s="15"/>
      <c r="L135" s="15"/>
      <c r="M135" s="15"/>
      <c r="N135" s="15"/>
      <c r="O135" s="15"/>
    </row>
    <row r="136" spans="1:15" ht="12.75" customHeight="1">
      <c r="A136" s="41"/>
      <c r="B136" s="614" t="s">
        <v>64</v>
      </c>
      <c r="C136" s="615">
        <v>1</v>
      </c>
      <c r="D136" s="632" t="s">
        <v>89</v>
      </c>
      <c r="E136" s="649">
        <v>35</v>
      </c>
      <c r="F136" s="613">
        <f>ROUND(C136*E136,2)</f>
        <v>35</v>
      </c>
      <c r="G136" s="42"/>
      <c r="H136" s="14"/>
      <c r="I136" s="14"/>
      <c r="J136" s="14"/>
      <c r="K136" s="15"/>
      <c r="L136" s="15"/>
      <c r="M136" s="15"/>
      <c r="N136" s="15"/>
      <c r="O136" s="15"/>
    </row>
    <row r="137" spans="1:15" ht="12.75" customHeight="1" thickBot="1">
      <c r="A137" s="41"/>
      <c r="B137" s="624"/>
      <c r="C137" s="634"/>
      <c r="D137" s="671" t="s">
        <v>80</v>
      </c>
      <c r="E137" s="636" t="s">
        <v>90</v>
      </c>
      <c r="F137" s="637">
        <f>ROUND(SUM(F134:F136),2)</f>
        <v>60.57</v>
      </c>
      <c r="G137" s="53"/>
      <c r="H137" s="14"/>
      <c r="I137" s="14"/>
      <c r="J137" s="14"/>
      <c r="K137" s="15"/>
      <c r="L137" s="15"/>
      <c r="M137" s="15"/>
      <c r="N137" s="15"/>
      <c r="O137" s="15"/>
    </row>
    <row r="138" spans="1:15" ht="12.75" customHeight="1" thickTop="1">
      <c r="A138" s="41"/>
      <c r="B138" s="626"/>
      <c r="C138" s="629"/>
      <c r="D138" s="602"/>
      <c r="E138" s="639"/>
      <c r="F138" s="639"/>
      <c r="G138" s="53"/>
      <c r="H138" s="14"/>
      <c r="I138" s="14"/>
      <c r="J138" s="14"/>
      <c r="K138" s="15"/>
      <c r="L138" s="15"/>
      <c r="M138" s="15"/>
      <c r="N138" s="15"/>
      <c r="O138" s="15"/>
    </row>
    <row r="139" spans="1:15" ht="12.75" customHeight="1" thickBot="1">
      <c r="A139" s="41"/>
      <c r="B139" s="681" t="s">
        <v>91</v>
      </c>
      <c r="C139" s="682"/>
      <c r="D139" s="683"/>
      <c r="E139" s="682"/>
      <c r="F139" s="682"/>
      <c r="G139" s="53"/>
      <c r="H139" s="14"/>
      <c r="I139" s="14"/>
      <c r="J139" s="14"/>
      <c r="K139" s="15"/>
      <c r="L139" s="15"/>
      <c r="M139" s="15"/>
      <c r="N139" s="15"/>
      <c r="O139" s="15"/>
    </row>
    <row r="140" spans="1:15" ht="12.75" customHeight="1" thickTop="1">
      <c r="A140" s="41"/>
      <c r="B140" s="684" t="s">
        <v>92</v>
      </c>
      <c r="C140" s="685">
        <v>1.9499999999999999E-3</v>
      </c>
      <c r="D140" s="686" t="s">
        <v>23</v>
      </c>
      <c r="E140" s="687">
        <f>F84</f>
        <v>4794.42</v>
      </c>
      <c r="F140" s="623">
        <f>ROUND(C140*E140,2)</f>
        <v>9.35</v>
      </c>
      <c r="G140" s="53"/>
      <c r="H140" s="14"/>
      <c r="I140" s="14"/>
      <c r="J140" s="14"/>
      <c r="K140" s="15"/>
      <c r="L140" s="15"/>
      <c r="M140" s="15"/>
      <c r="N140" s="15"/>
      <c r="O140" s="15"/>
    </row>
    <row r="141" spans="1:15" ht="12.75" customHeight="1">
      <c r="A141" s="41"/>
      <c r="B141" s="688" t="s">
        <v>93</v>
      </c>
      <c r="C141" s="689">
        <v>3.3300000000000003E-2</v>
      </c>
      <c r="D141" s="690" t="s">
        <v>61</v>
      </c>
      <c r="E141" s="691">
        <v>35</v>
      </c>
      <c r="F141" s="613">
        <f>ROUND(C141*E141,2)</f>
        <v>1.17</v>
      </c>
      <c r="G141" s="53"/>
      <c r="H141" s="14"/>
      <c r="I141" s="14"/>
      <c r="J141" s="14"/>
      <c r="K141" s="15"/>
      <c r="L141" s="15"/>
      <c r="M141" s="15"/>
      <c r="N141" s="15"/>
      <c r="O141" s="15"/>
    </row>
    <row r="142" spans="1:15" ht="12.75" customHeight="1">
      <c r="A142" s="41"/>
      <c r="B142" s="688" t="s">
        <v>64</v>
      </c>
      <c r="C142" s="692">
        <v>1</v>
      </c>
      <c r="D142" s="690" t="s">
        <v>65</v>
      </c>
      <c r="E142" s="691">
        <v>19.86</v>
      </c>
      <c r="F142" s="613">
        <f>ROUND(C142*E142,2)</f>
        <v>19.86</v>
      </c>
      <c r="G142" s="53"/>
      <c r="H142" s="14"/>
      <c r="I142" s="14"/>
      <c r="J142" s="14"/>
      <c r="K142" s="15"/>
      <c r="L142" s="15"/>
      <c r="M142" s="15"/>
      <c r="N142" s="15"/>
      <c r="O142" s="15"/>
    </row>
    <row r="143" spans="1:15" ht="12.75" customHeight="1" thickBot="1">
      <c r="A143" s="41"/>
      <c r="B143" s="693"/>
      <c r="C143" s="694"/>
      <c r="D143" s="695"/>
      <c r="E143" s="696" t="s">
        <v>65</v>
      </c>
      <c r="F143" s="697">
        <f>SUM(F140:F142)</f>
        <v>30.38</v>
      </c>
      <c r="G143" s="42"/>
      <c r="H143" s="14"/>
      <c r="I143" s="14"/>
      <c r="J143" s="14"/>
      <c r="K143" s="15"/>
      <c r="L143" s="15"/>
      <c r="M143" s="15"/>
      <c r="N143" s="15"/>
      <c r="O143" s="15"/>
    </row>
    <row r="144" spans="1:15" ht="12.75" customHeight="1" thickTop="1">
      <c r="A144" s="41"/>
      <c r="B144" s="626"/>
      <c r="C144" s="629"/>
      <c r="D144" s="602"/>
      <c r="E144" s="639"/>
      <c r="F144" s="639"/>
      <c r="G144" s="53"/>
      <c r="H144" s="14"/>
      <c r="I144" s="14"/>
      <c r="J144" s="14"/>
      <c r="K144" s="15"/>
      <c r="L144" s="15"/>
      <c r="M144" s="15"/>
      <c r="N144" s="15"/>
      <c r="O144" s="15"/>
    </row>
    <row r="145" spans="1:15" ht="12.75" customHeight="1" thickBot="1">
      <c r="A145" s="41"/>
      <c r="B145" s="1261" t="s">
        <v>94</v>
      </c>
      <c r="C145" s="529"/>
      <c r="D145" s="529"/>
      <c r="E145" s="529"/>
      <c r="F145" s="529"/>
      <c r="G145" s="53"/>
      <c r="H145" s="14"/>
      <c r="I145" s="14"/>
      <c r="J145" s="14"/>
      <c r="K145" s="15"/>
      <c r="L145" s="15"/>
      <c r="M145" s="15"/>
      <c r="N145" s="15"/>
      <c r="O145" s="15"/>
    </row>
    <row r="146" spans="1:15" ht="26.25" customHeight="1" thickTop="1">
      <c r="A146" s="41"/>
      <c r="B146" s="698" t="s">
        <v>95</v>
      </c>
      <c r="C146" s="699">
        <v>1.9499999999999999E-3</v>
      </c>
      <c r="D146" s="700" t="s">
        <v>23</v>
      </c>
      <c r="E146" s="701">
        <f>F84</f>
        <v>4794.42</v>
      </c>
      <c r="F146" s="623">
        <f>ROUND(C146*E146,2)</f>
        <v>9.35</v>
      </c>
      <c r="G146" s="53"/>
      <c r="H146" s="14"/>
      <c r="I146" s="14"/>
      <c r="J146" s="14"/>
      <c r="K146" s="15"/>
      <c r="L146" s="15"/>
      <c r="M146" s="15"/>
      <c r="N146" s="15"/>
      <c r="O146" s="15"/>
    </row>
    <row r="147" spans="1:15" ht="12.75" customHeight="1">
      <c r="A147" s="41"/>
      <c r="B147" s="702" t="s">
        <v>96</v>
      </c>
      <c r="C147" s="703">
        <v>1</v>
      </c>
      <c r="D147" s="704" t="s">
        <v>65</v>
      </c>
      <c r="E147" s="703">
        <v>19.86</v>
      </c>
      <c r="F147" s="613">
        <f>ROUND(C147*E147,2)</f>
        <v>19.86</v>
      </c>
      <c r="G147" s="53"/>
      <c r="H147" s="14"/>
      <c r="I147" s="14">
        <f>104.06/20</f>
        <v>5.2</v>
      </c>
      <c r="J147" s="14"/>
      <c r="K147" s="15"/>
      <c r="L147" s="15"/>
      <c r="M147" s="15"/>
      <c r="N147" s="15"/>
      <c r="O147" s="15"/>
    </row>
    <row r="148" spans="1:15" ht="12.75" customHeight="1" thickBot="1">
      <c r="A148" s="41"/>
      <c r="B148" s="705"/>
      <c r="C148" s="706"/>
      <c r="D148" s="707"/>
      <c r="E148" s="708" t="s">
        <v>97</v>
      </c>
      <c r="F148" s="709">
        <f>SUM(F146:F147)</f>
        <v>29.21</v>
      </c>
      <c r="G148" s="53"/>
      <c r="H148" s="14"/>
      <c r="I148" s="14"/>
      <c r="J148" s="14"/>
      <c r="K148" s="15"/>
      <c r="L148" s="15"/>
      <c r="M148" s="15"/>
      <c r="N148" s="15"/>
      <c r="O148" s="15"/>
    </row>
    <row r="149" spans="1:15" ht="12.75" customHeight="1" thickTop="1">
      <c r="A149" s="41"/>
      <c r="B149" s="626"/>
      <c r="C149" s="629"/>
      <c r="D149" s="602"/>
      <c r="E149" s="639"/>
      <c r="F149" s="639"/>
      <c r="G149" s="53"/>
      <c r="H149" s="14"/>
      <c r="I149" s="14"/>
      <c r="J149" s="14"/>
      <c r="K149" s="15"/>
      <c r="L149" s="15"/>
      <c r="M149" s="15"/>
      <c r="N149" s="15"/>
      <c r="O149" s="15"/>
    </row>
    <row r="150" spans="1:15" ht="12.75" customHeight="1" thickBot="1">
      <c r="A150" s="41"/>
      <c r="B150" s="710" t="s">
        <v>98</v>
      </c>
      <c r="C150" s="682"/>
      <c r="D150" s="683"/>
      <c r="E150" s="711" t="s">
        <v>99</v>
      </c>
      <c r="F150" s="712">
        <v>749.36</v>
      </c>
      <c r="G150" s="53"/>
      <c r="H150" s="14"/>
      <c r="I150" s="16"/>
      <c r="J150" s="14"/>
      <c r="K150" s="15"/>
      <c r="L150" s="15"/>
      <c r="M150" s="15"/>
      <c r="N150" s="15"/>
      <c r="O150" s="15"/>
    </row>
    <row r="151" spans="1:15" ht="12.75" customHeight="1" thickTop="1">
      <c r="A151" s="41"/>
      <c r="B151" s="684" t="s">
        <v>100</v>
      </c>
      <c r="C151" s="713">
        <v>1</v>
      </c>
      <c r="D151" s="686" t="s">
        <v>65</v>
      </c>
      <c r="E151" s="687">
        <v>44.96</v>
      </c>
      <c r="F151" s="623">
        <f>ROUND(C151*E151,2)</f>
        <v>44.96</v>
      </c>
      <c r="G151" s="53"/>
      <c r="H151" s="14"/>
      <c r="I151" s="14"/>
      <c r="J151" s="14"/>
      <c r="K151" s="15"/>
      <c r="L151" s="15"/>
      <c r="M151" s="15"/>
      <c r="N151" s="15"/>
      <c r="O151" s="15"/>
    </row>
    <row r="152" spans="1:15" ht="12.75" customHeight="1">
      <c r="A152" s="41"/>
      <c r="B152" s="688" t="s">
        <v>101</v>
      </c>
      <c r="C152" s="714">
        <v>1</v>
      </c>
      <c r="D152" s="690" t="s">
        <v>65</v>
      </c>
      <c r="E152" s="691">
        <v>38.4</v>
      </c>
      <c r="F152" s="613">
        <f>ROUND(C152*E152,2)</f>
        <v>38.4</v>
      </c>
      <c r="G152" s="53"/>
      <c r="H152" s="14"/>
      <c r="I152" s="94">
        <f>749.36/10</f>
        <v>74.94</v>
      </c>
      <c r="J152" s="14"/>
      <c r="K152" s="15"/>
      <c r="L152" s="15"/>
      <c r="M152" s="15"/>
      <c r="N152" s="15"/>
      <c r="O152" s="15"/>
    </row>
    <row r="153" spans="1:15" ht="12.75" customHeight="1">
      <c r="A153" s="41"/>
      <c r="B153" s="688" t="s">
        <v>102</v>
      </c>
      <c r="C153" s="692">
        <v>1</v>
      </c>
      <c r="D153" s="690" t="s">
        <v>103</v>
      </c>
      <c r="E153" s="691">
        <f>F151*0.03</f>
        <v>1.35</v>
      </c>
      <c r="F153" s="613">
        <f>ROUND(C153*E153,2)</f>
        <v>1.35</v>
      </c>
      <c r="G153" s="53"/>
      <c r="H153" s="14"/>
      <c r="I153" s="94">
        <f>I152*1.2</f>
        <v>89.93</v>
      </c>
      <c r="J153" s="14"/>
      <c r="K153" s="15"/>
      <c r="L153" s="15"/>
      <c r="M153" s="15"/>
      <c r="N153" s="15"/>
      <c r="O153" s="15"/>
    </row>
    <row r="154" spans="1:15" ht="12.75" customHeight="1" thickBot="1">
      <c r="A154" s="41"/>
      <c r="B154" s="693"/>
      <c r="C154" s="694"/>
      <c r="D154" s="695"/>
      <c r="E154" s="708" t="s">
        <v>104</v>
      </c>
      <c r="F154" s="697">
        <f>SUM(F151:F153)</f>
        <v>84.71</v>
      </c>
      <c r="G154" s="53"/>
      <c r="H154" s="14"/>
      <c r="I154" s="95">
        <v>38.4</v>
      </c>
      <c r="J154" s="14"/>
      <c r="K154" s="15"/>
      <c r="L154" s="15"/>
      <c r="M154" s="15"/>
      <c r="N154" s="15"/>
      <c r="O154" s="15"/>
    </row>
    <row r="155" spans="1:15" ht="12.75" customHeight="1" thickTop="1">
      <c r="A155" s="41"/>
      <c r="B155" s="626"/>
      <c r="C155" s="629"/>
      <c r="D155" s="602"/>
      <c r="E155" s="639"/>
      <c r="F155" s="639"/>
      <c r="G155" s="53"/>
      <c r="H155" s="14"/>
      <c r="I155" s="94">
        <f>I153*0.03</f>
        <v>2.7</v>
      </c>
      <c r="J155" s="14"/>
      <c r="K155" s="15"/>
      <c r="L155" s="15"/>
      <c r="M155" s="15"/>
      <c r="N155" s="15"/>
      <c r="O155" s="15"/>
    </row>
    <row r="156" spans="1:15" ht="12.75" customHeight="1" thickBot="1">
      <c r="A156" s="41"/>
      <c r="B156" s="715" t="s">
        <v>105</v>
      </c>
      <c r="C156" s="716"/>
      <c r="D156" s="717"/>
      <c r="E156" s="718"/>
      <c r="F156" s="718"/>
      <c r="G156" s="53"/>
      <c r="H156" s="14"/>
      <c r="I156" s="95">
        <f>SUM(I153:I155)</f>
        <v>131.03</v>
      </c>
      <c r="J156" s="14"/>
      <c r="K156" s="15"/>
      <c r="L156" s="15"/>
      <c r="M156" s="15"/>
      <c r="N156" s="15"/>
      <c r="O156" s="15"/>
    </row>
    <row r="157" spans="1:15" ht="12.75" customHeight="1" thickTop="1">
      <c r="A157" s="41"/>
      <c r="B157" s="719" t="s">
        <v>106</v>
      </c>
      <c r="C157" s="720">
        <v>1.05</v>
      </c>
      <c r="D157" s="721" t="s">
        <v>23</v>
      </c>
      <c r="E157" s="722">
        <f>F60</f>
        <v>4455.62</v>
      </c>
      <c r="F157" s="623">
        <f>ROUND(C157*E157,2)</f>
        <v>4678.3999999999996</v>
      </c>
      <c r="G157" s="53"/>
      <c r="H157" s="14"/>
      <c r="I157" s="95"/>
      <c r="J157" s="14"/>
      <c r="K157" s="15"/>
      <c r="L157" s="15"/>
      <c r="M157" s="15"/>
      <c r="N157" s="15"/>
      <c r="O157" s="15"/>
    </row>
    <row r="158" spans="1:15" ht="12.75" customHeight="1">
      <c r="A158" s="41"/>
      <c r="B158" s="723" t="s">
        <v>107</v>
      </c>
      <c r="C158" s="724">
        <v>44.44</v>
      </c>
      <c r="D158" s="725" t="s">
        <v>108</v>
      </c>
      <c r="E158" s="726">
        <v>39.82</v>
      </c>
      <c r="F158" s="613">
        <f>ROUND(C158*E158,2)</f>
        <v>1769.6</v>
      </c>
      <c r="G158" s="53"/>
      <c r="H158" s="14"/>
      <c r="I158" s="14"/>
      <c r="J158" s="14"/>
      <c r="K158" s="15"/>
      <c r="L158" s="15"/>
      <c r="M158" s="15"/>
      <c r="N158" s="15"/>
      <c r="O158" s="15"/>
    </row>
    <row r="159" spans="1:15" ht="12.75" customHeight="1">
      <c r="A159" s="41"/>
      <c r="B159" s="727"/>
      <c r="C159" s="728"/>
      <c r="D159" s="1274" t="s">
        <v>109</v>
      </c>
      <c r="E159" s="1275"/>
      <c r="F159" s="729">
        <f>SUM(F157:F158)</f>
        <v>6448</v>
      </c>
      <c r="G159" s="53"/>
      <c r="H159" s="14"/>
      <c r="I159" s="14"/>
      <c r="J159" s="14"/>
      <c r="K159" s="15"/>
      <c r="L159" s="15"/>
      <c r="M159" s="15"/>
      <c r="N159" s="15"/>
      <c r="O159" s="15"/>
    </row>
    <row r="160" spans="1:15" ht="12.75" customHeight="1" thickBot="1">
      <c r="A160" s="41"/>
      <c r="B160" s="730"/>
      <c r="C160" s="731"/>
      <c r="D160" s="1276" t="s">
        <v>110</v>
      </c>
      <c r="E160" s="1277"/>
      <c r="F160" s="732">
        <f>(F159*0.15*0.15)+(F137*0.21)</f>
        <v>157.80000000000001</v>
      </c>
      <c r="G160" s="53"/>
      <c r="H160" s="14"/>
      <c r="I160" s="14"/>
      <c r="J160" s="14"/>
      <c r="K160" s="15"/>
      <c r="L160" s="15"/>
      <c r="M160" s="15"/>
      <c r="N160" s="15"/>
      <c r="O160" s="15"/>
    </row>
    <row r="161" spans="1:15" ht="12.75" customHeight="1" thickTop="1">
      <c r="A161" s="41"/>
      <c r="B161" s="626"/>
      <c r="C161" s="629"/>
      <c r="D161" s="602"/>
      <c r="E161" s="639"/>
      <c r="F161" s="639"/>
      <c r="G161" s="53"/>
      <c r="H161" s="14"/>
      <c r="I161" s="14"/>
      <c r="J161" s="14"/>
      <c r="K161" s="15"/>
      <c r="L161" s="15"/>
      <c r="M161" s="15"/>
      <c r="N161" s="15"/>
      <c r="O161" s="15"/>
    </row>
    <row r="162" spans="1:15" ht="12.75" customHeight="1" thickBot="1">
      <c r="A162" s="41"/>
      <c r="B162" s="640" t="s">
        <v>111</v>
      </c>
      <c r="C162" s="629"/>
      <c r="D162" s="600"/>
      <c r="E162" s="639"/>
      <c r="F162" s="639"/>
      <c r="G162" s="53"/>
      <c r="H162" s="14"/>
      <c r="I162" s="14"/>
      <c r="J162" s="14"/>
      <c r="K162" s="15"/>
      <c r="L162" s="15"/>
      <c r="M162" s="15"/>
      <c r="N162" s="15"/>
      <c r="O162" s="15"/>
    </row>
    <row r="163" spans="1:15" ht="12.75" customHeight="1" thickTop="1">
      <c r="A163" s="41"/>
      <c r="B163" s="604" t="s">
        <v>112</v>
      </c>
      <c r="C163" s="605">
        <v>1</v>
      </c>
      <c r="D163" s="631" t="s">
        <v>27</v>
      </c>
      <c r="E163" s="605">
        <f>F18</f>
        <v>2450</v>
      </c>
      <c r="F163" s="623">
        <f>ROUND(C163*E163,2)</f>
        <v>2450</v>
      </c>
      <c r="G163" s="42"/>
      <c r="H163" s="14"/>
      <c r="I163" s="14"/>
      <c r="J163" s="14"/>
      <c r="K163" s="15"/>
      <c r="L163" s="15"/>
      <c r="M163" s="15"/>
      <c r="N163" s="15"/>
      <c r="O163" s="15"/>
    </row>
    <row r="164" spans="1:15" ht="12.75" customHeight="1">
      <c r="A164" s="41"/>
      <c r="B164" s="733" t="s">
        <v>113</v>
      </c>
      <c r="C164" s="610">
        <v>1</v>
      </c>
      <c r="D164" s="643" t="s">
        <v>27</v>
      </c>
      <c r="E164" s="610">
        <v>80.55</v>
      </c>
      <c r="F164" s="613">
        <f>ROUND(C164*E164,2)</f>
        <v>80.55</v>
      </c>
      <c r="G164" s="42"/>
      <c r="H164" s="14"/>
      <c r="I164" s="14"/>
      <c r="J164" s="14"/>
      <c r="K164" s="15"/>
      <c r="L164" s="15"/>
      <c r="M164" s="15"/>
      <c r="N164" s="15"/>
      <c r="O164" s="15"/>
    </row>
    <row r="165" spans="1:15" ht="12.75" customHeight="1">
      <c r="A165" s="41"/>
      <c r="B165" s="614" t="s">
        <v>114</v>
      </c>
      <c r="C165" s="615">
        <v>2</v>
      </c>
      <c r="D165" s="632" t="s">
        <v>115</v>
      </c>
      <c r="E165" s="615">
        <v>35</v>
      </c>
      <c r="F165" s="613">
        <f>ROUND(C165*E165,2)</f>
        <v>70</v>
      </c>
      <c r="G165" s="42"/>
      <c r="H165" s="14"/>
      <c r="I165" s="14"/>
      <c r="J165" s="14"/>
      <c r="K165" s="15"/>
      <c r="L165" s="15"/>
      <c r="M165" s="15"/>
      <c r="N165" s="15"/>
      <c r="O165" s="15"/>
    </row>
    <row r="166" spans="1:15" ht="12.75" customHeight="1" thickBot="1">
      <c r="A166" s="41"/>
      <c r="B166" s="624"/>
      <c r="C166" s="634"/>
      <c r="D166" s="671"/>
      <c r="E166" s="636" t="s">
        <v>43</v>
      </c>
      <c r="F166" s="637">
        <f>SUM(F163:F165)</f>
        <v>2600.5500000000002</v>
      </c>
      <c r="G166" s="53"/>
      <c r="H166" s="14"/>
      <c r="I166" s="14"/>
      <c r="J166" s="14"/>
      <c r="K166" s="15"/>
      <c r="L166" s="15"/>
      <c r="M166" s="15"/>
      <c r="N166" s="15"/>
      <c r="O166" s="15"/>
    </row>
    <row r="167" spans="1:15" ht="12.75" customHeight="1" thickTop="1">
      <c r="A167" s="41"/>
      <c r="B167" s="626"/>
      <c r="C167" s="629"/>
      <c r="D167" s="626"/>
      <c r="E167" s="629"/>
      <c r="F167" s="639"/>
      <c r="G167" s="53"/>
      <c r="H167" s="14"/>
      <c r="I167" s="14"/>
      <c r="J167" s="14"/>
      <c r="K167" s="15"/>
      <c r="L167" s="15"/>
      <c r="M167" s="15"/>
      <c r="N167" s="15"/>
      <c r="O167" s="15"/>
    </row>
    <row r="168" spans="1:15" ht="12.75" customHeight="1" thickBot="1">
      <c r="A168" s="41"/>
      <c r="B168" s="640" t="s">
        <v>116</v>
      </c>
      <c r="C168" s="629"/>
      <c r="D168" s="679"/>
      <c r="E168" s="639"/>
      <c r="F168" s="639"/>
      <c r="G168" s="53"/>
      <c r="H168" s="14"/>
      <c r="I168" s="14"/>
      <c r="J168" s="14"/>
      <c r="K168" s="15"/>
      <c r="L168" s="15"/>
      <c r="M168" s="15"/>
      <c r="N168" s="15"/>
      <c r="O168" s="15"/>
    </row>
    <row r="169" spans="1:15" ht="12.75" customHeight="1" thickTop="1">
      <c r="A169" s="41"/>
      <c r="B169" s="604" t="s">
        <v>112</v>
      </c>
      <c r="C169" s="605">
        <v>1</v>
      </c>
      <c r="D169" s="631" t="s">
        <v>27</v>
      </c>
      <c r="E169" s="605">
        <f>F18</f>
        <v>2450</v>
      </c>
      <c r="F169" s="623">
        <f>ROUND(C169*E169,2)</f>
        <v>2450</v>
      </c>
      <c r="G169" s="53"/>
      <c r="H169" s="14"/>
      <c r="I169" s="14"/>
      <c r="J169" s="14"/>
      <c r="K169" s="15"/>
      <c r="L169" s="15"/>
      <c r="M169" s="15"/>
      <c r="N169" s="15"/>
      <c r="O169" s="15"/>
    </row>
    <row r="170" spans="1:15" ht="12.75" customHeight="1">
      <c r="A170" s="41"/>
      <c r="B170" s="733" t="s">
        <v>113</v>
      </c>
      <c r="C170" s="615">
        <v>1</v>
      </c>
      <c r="D170" s="632" t="s">
        <v>27</v>
      </c>
      <c r="E170" s="615">
        <v>225.66</v>
      </c>
      <c r="F170" s="613">
        <f>ROUND(C170*E170,2)</f>
        <v>225.66</v>
      </c>
      <c r="G170" s="99"/>
      <c r="H170" s="14"/>
      <c r="I170" s="14"/>
      <c r="J170" s="14"/>
      <c r="K170" s="15"/>
      <c r="L170" s="15"/>
      <c r="M170" s="15"/>
      <c r="N170" s="15"/>
      <c r="O170" s="15"/>
    </row>
    <row r="171" spans="1:15" ht="12.75" customHeight="1">
      <c r="A171" s="41"/>
      <c r="B171" s="614" t="s">
        <v>114</v>
      </c>
      <c r="C171" s="615">
        <v>2</v>
      </c>
      <c r="D171" s="632" t="s">
        <v>115</v>
      </c>
      <c r="E171" s="615">
        <v>35</v>
      </c>
      <c r="F171" s="613">
        <f>ROUND(C171*E171,2)</f>
        <v>70</v>
      </c>
      <c r="G171" s="15"/>
      <c r="H171" s="14"/>
      <c r="I171" s="14"/>
      <c r="J171" s="14"/>
      <c r="K171" s="15"/>
      <c r="L171" s="15"/>
      <c r="M171" s="15"/>
      <c r="N171" s="15"/>
      <c r="O171" s="15"/>
    </row>
    <row r="172" spans="1:15" ht="12.75" customHeight="1" thickBot="1">
      <c r="A172" s="41"/>
      <c r="B172" s="624"/>
      <c r="C172" s="634"/>
      <c r="D172" s="671"/>
      <c r="E172" s="636" t="s">
        <v>43</v>
      </c>
      <c r="F172" s="637">
        <f>SUM(F169:F171)</f>
        <v>2745.66</v>
      </c>
      <c r="G172" s="15"/>
      <c r="H172" s="14"/>
      <c r="I172" s="14"/>
      <c r="J172" s="14"/>
      <c r="K172" s="15"/>
      <c r="L172" s="15"/>
      <c r="M172" s="15"/>
      <c r="N172" s="15"/>
      <c r="O172" s="15"/>
    </row>
    <row r="173" spans="1:15" ht="9.75" customHeight="1" thickTop="1">
      <c r="A173" s="41"/>
      <c r="B173" s="626"/>
      <c r="C173" s="629"/>
      <c r="D173" s="679"/>
      <c r="E173" s="639"/>
      <c r="F173" s="639"/>
      <c r="G173" s="25"/>
      <c r="H173" s="14"/>
      <c r="I173" s="14"/>
      <c r="J173" s="14"/>
      <c r="K173" s="15"/>
      <c r="L173" s="15"/>
      <c r="M173" s="15"/>
      <c r="N173" s="15"/>
      <c r="O173" s="15"/>
    </row>
    <row r="174" spans="1:15" ht="12.75" customHeight="1">
      <c r="A174" s="41"/>
      <c r="B174" s="734" t="s">
        <v>117</v>
      </c>
      <c r="C174" s="735"/>
      <c r="D174" s="734"/>
      <c r="E174" s="735"/>
      <c r="F174" s="735"/>
      <c r="G174" s="25"/>
      <c r="H174" s="14"/>
      <c r="I174" s="14"/>
      <c r="J174" s="14"/>
      <c r="K174" s="15"/>
      <c r="L174" s="15"/>
      <c r="M174" s="15"/>
      <c r="N174" s="15"/>
      <c r="O174" s="15"/>
    </row>
    <row r="175" spans="1:15" ht="9" customHeight="1">
      <c r="A175" s="41"/>
      <c r="B175" s="600"/>
      <c r="C175" s="601"/>
      <c r="D175" s="600"/>
      <c r="E175" s="601"/>
      <c r="F175" s="601"/>
      <c r="G175" s="25"/>
      <c r="H175" s="14"/>
      <c r="I175" s="14"/>
      <c r="J175" s="14"/>
      <c r="K175" s="15"/>
      <c r="L175" s="15"/>
      <c r="M175" s="15"/>
      <c r="N175" s="15"/>
      <c r="O175" s="15"/>
    </row>
    <row r="176" spans="1:15" ht="12.75" customHeight="1" thickBot="1">
      <c r="A176" s="41"/>
      <c r="B176" s="603" t="s">
        <v>118</v>
      </c>
      <c r="C176" s="601"/>
      <c r="D176" s="600"/>
      <c r="E176" s="601"/>
      <c r="F176" s="601"/>
      <c r="G176" s="25"/>
      <c r="H176" s="14"/>
      <c r="I176" s="14"/>
      <c r="J176" s="14"/>
      <c r="K176" s="15"/>
      <c r="L176" s="15"/>
      <c r="M176" s="15"/>
      <c r="N176" s="15"/>
      <c r="O176" s="15"/>
    </row>
    <row r="177" spans="1:15" ht="12.75" customHeight="1" thickTop="1">
      <c r="A177" s="41"/>
      <c r="B177" s="604" t="s">
        <v>22</v>
      </c>
      <c r="C177" s="605">
        <v>0.52</v>
      </c>
      <c r="D177" s="645" t="s">
        <v>23</v>
      </c>
      <c r="E177" s="605">
        <f>+F26</f>
        <v>1012</v>
      </c>
      <c r="F177" s="623">
        <f>ROUND(C177*E177,2)</f>
        <v>526.24</v>
      </c>
      <c r="G177" s="25"/>
      <c r="H177" s="14"/>
      <c r="I177" s="14"/>
      <c r="J177" s="14"/>
      <c r="K177" s="15"/>
      <c r="L177" s="15"/>
      <c r="M177" s="15"/>
      <c r="N177" s="15"/>
      <c r="O177" s="15"/>
    </row>
    <row r="178" spans="1:15" ht="12.75" customHeight="1">
      <c r="A178" s="41"/>
      <c r="B178" s="614" t="s">
        <v>24</v>
      </c>
      <c r="C178" s="615">
        <v>0.85</v>
      </c>
      <c r="D178" s="646" t="s">
        <v>23</v>
      </c>
      <c r="E178" s="615">
        <f>F32</f>
        <v>1362</v>
      </c>
      <c r="F178" s="613">
        <f>ROUND(C178*E178,2)</f>
        <v>1157.7</v>
      </c>
      <c r="G178" s="30"/>
      <c r="H178" s="14"/>
      <c r="I178" s="14"/>
      <c r="J178" s="14"/>
      <c r="K178" s="15"/>
      <c r="L178" s="15"/>
      <c r="M178" s="15"/>
      <c r="N178" s="15"/>
      <c r="O178" s="15"/>
    </row>
    <row r="179" spans="1:15" ht="12.75" customHeight="1">
      <c r="A179" s="41"/>
      <c r="B179" s="614" t="s">
        <v>17</v>
      </c>
      <c r="C179" s="615">
        <v>60</v>
      </c>
      <c r="D179" s="646" t="s">
        <v>40</v>
      </c>
      <c r="E179" s="615">
        <f>F12</f>
        <v>2.5</v>
      </c>
      <c r="F179" s="613">
        <f>ROUND(C179*E179,2)</f>
        <v>150</v>
      </c>
      <c r="G179" s="47"/>
      <c r="H179" s="14"/>
      <c r="I179" s="14"/>
      <c r="J179" s="14"/>
      <c r="K179" s="15"/>
      <c r="L179" s="15"/>
      <c r="M179" s="15"/>
      <c r="N179" s="15"/>
      <c r="O179" s="15"/>
    </row>
    <row r="180" spans="1:15" ht="12.75" customHeight="1">
      <c r="A180" s="41"/>
      <c r="B180" s="614" t="s">
        <v>119</v>
      </c>
      <c r="C180" s="615">
        <v>6.4</v>
      </c>
      <c r="D180" s="736" t="s">
        <v>39</v>
      </c>
      <c r="E180" s="615">
        <f>F13</f>
        <v>250</v>
      </c>
      <c r="F180" s="613">
        <f>ROUND(C180*E180,2)</f>
        <v>1600</v>
      </c>
      <c r="G180" s="30"/>
      <c r="H180" s="14"/>
      <c r="I180" s="14"/>
      <c r="J180" s="14"/>
      <c r="K180" s="15"/>
      <c r="L180" s="15"/>
      <c r="M180" s="15"/>
      <c r="N180" s="15"/>
      <c r="O180" s="15"/>
    </row>
    <row r="181" spans="1:15" ht="12.75" customHeight="1">
      <c r="A181" s="41"/>
      <c r="B181" s="614" t="s">
        <v>120</v>
      </c>
      <c r="C181" s="615">
        <v>0.5</v>
      </c>
      <c r="D181" s="646" t="s">
        <v>53</v>
      </c>
      <c r="E181" s="615">
        <v>650</v>
      </c>
      <c r="F181" s="613">
        <f>ROUND(C181*E181,2)</f>
        <v>325</v>
      </c>
      <c r="G181" s="15"/>
      <c r="H181" s="14"/>
      <c r="I181" s="14"/>
      <c r="J181" s="14"/>
      <c r="K181" s="15"/>
      <c r="L181" s="15"/>
      <c r="M181" s="15"/>
      <c r="N181" s="15"/>
      <c r="O181" s="15"/>
    </row>
    <row r="182" spans="1:15" ht="12.75" customHeight="1">
      <c r="A182" s="41"/>
      <c r="B182" s="733" t="s">
        <v>121</v>
      </c>
      <c r="C182" s="615"/>
      <c r="D182" s="737"/>
      <c r="E182" s="615"/>
      <c r="F182" s="633">
        <f>SUM(F177+F179+F180)*0.03</f>
        <v>68.290000000000006</v>
      </c>
      <c r="G182" s="42"/>
      <c r="H182" s="14"/>
      <c r="I182" s="14"/>
      <c r="J182" s="14"/>
      <c r="K182" s="15"/>
      <c r="L182" s="15"/>
      <c r="M182" s="15"/>
      <c r="N182" s="15"/>
      <c r="O182" s="15"/>
    </row>
    <row r="183" spans="1:15" ht="12.75" customHeight="1" thickBot="1">
      <c r="A183" s="41"/>
      <c r="B183" s="624"/>
      <c r="C183" s="634"/>
      <c r="D183" s="647"/>
      <c r="E183" s="636" t="s">
        <v>43</v>
      </c>
      <c r="F183" s="637">
        <f>SUM(F177:F182)</f>
        <v>3827.23</v>
      </c>
      <c r="G183" s="102"/>
      <c r="H183" s="14"/>
      <c r="I183" s="14"/>
      <c r="J183" s="14"/>
      <c r="K183" s="15"/>
      <c r="L183" s="15"/>
      <c r="M183" s="15"/>
      <c r="N183" s="15"/>
      <c r="O183" s="15"/>
    </row>
    <row r="184" spans="1:15" ht="12.75" customHeight="1" thickTop="1">
      <c r="A184" s="41"/>
      <c r="B184" s="600"/>
      <c r="C184" s="601"/>
      <c r="D184" s="600"/>
      <c r="E184" s="644"/>
      <c r="F184" s="644"/>
      <c r="G184" s="42"/>
      <c r="H184" s="14"/>
      <c r="I184" s="14"/>
      <c r="J184" s="14"/>
      <c r="K184" s="15"/>
      <c r="L184" s="15"/>
      <c r="M184" s="15"/>
      <c r="N184" s="15"/>
      <c r="O184" s="15"/>
    </row>
    <row r="185" spans="1:15" ht="12.75" customHeight="1" thickBot="1">
      <c r="A185" s="103"/>
      <c r="B185" s="641" t="s">
        <v>122</v>
      </c>
      <c r="C185" s="601"/>
      <c r="D185" s="600"/>
      <c r="E185" s="601"/>
      <c r="F185" s="601"/>
      <c r="G185" s="53"/>
      <c r="H185" s="14"/>
      <c r="I185" s="14"/>
      <c r="J185" s="14"/>
      <c r="K185" s="15"/>
      <c r="L185" s="15"/>
      <c r="M185" s="15"/>
      <c r="N185" s="15"/>
      <c r="O185" s="15"/>
    </row>
    <row r="186" spans="1:15" ht="12.75" customHeight="1" thickTop="1">
      <c r="A186" s="104"/>
      <c r="B186" s="604" t="s">
        <v>123</v>
      </c>
      <c r="C186" s="605">
        <v>0.8</v>
      </c>
      <c r="D186" s="645" t="s">
        <v>23</v>
      </c>
      <c r="E186" s="605">
        <f>+F69</f>
        <v>3131.96</v>
      </c>
      <c r="F186" s="623">
        <f>ROUND(C186*E186,2)</f>
        <v>2505.5700000000002</v>
      </c>
      <c r="G186" s="104"/>
      <c r="H186" s="14"/>
      <c r="I186" s="14"/>
      <c r="J186" s="14"/>
      <c r="K186" s="15"/>
      <c r="L186" s="15"/>
      <c r="M186" s="15"/>
      <c r="N186" s="15"/>
      <c r="O186" s="15"/>
    </row>
    <row r="187" spans="1:15" ht="13.5" customHeight="1">
      <c r="A187" s="104"/>
      <c r="B187" s="614" t="s">
        <v>124</v>
      </c>
      <c r="C187" s="615">
        <v>0.45</v>
      </c>
      <c r="D187" s="646" t="s">
        <v>23</v>
      </c>
      <c r="E187" s="615">
        <v>250</v>
      </c>
      <c r="F187" s="613">
        <f>ROUND(C187*E187,2)</f>
        <v>112.5</v>
      </c>
      <c r="G187" s="104"/>
      <c r="H187" s="14"/>
      <c r="I187" s="14"/>
      <c r="J187" s="14"/>
      <c r="K187" s="15"/>
      <c r="L187" s="15"/>
      <c r="M187" s="15"/>
      <c r="N187" s="15"/>
      <c r="O187" s="15"/>
    </row>
    <row r="188" spans="1:15" ht="12.75" customHeight="1">
      <c r="A188" s="104"/>
      <c r="B188" s="614" t="s">
        <v>64</v>
      </c>
      <c r="C188" s="615">
        <v>1</v>
      </c>
      <c r="D188" s="646" t="s">
        <v>23</v>
      </c>
      <c r="E188" s="615">
        <v>200</v>
      </c>
      <c r="F188" s="613">
        <f>ROUND(C188*E188,2)</f>
        <v>200</v>
      </c>
      <c r="G188" s="104"/>
      <c r="H188" s="14"/>
      <c r="I188" s="14"/>
      <c r="J188" s="14"/>
      <c r="K188" s="15"/>
      <c r="L188" s="15"/>
      <c r="M188" s="15"/>
      <c r="N188" s="15"/>
      <c r="O188" s="15"/>
    </row>
    <row r="189" spans="1:15" ht="12.75" customHeight="1" thickBot="1">
      <c r="A189" s="104"/>
      <c r="B189" s="624"/>
      <c r="C189" s="634"/>
      <c r="D189" s="647"/>
      <c r="E189" s="636" t="s">
        <v>43</v>
      </c>
      <c r="F189" s="637">
        <f>ROUND(SUM(F186:F188),2)</f>
        <v>2818.07</v>
      </c>
      <c r="G189" s="104"/>
      <c r="H189" s="14"/>
      <c r="I189" s="14">
        <v>14</v>
      </c>
      <c r="J189" s="14"/>
      <c r="K189" s="15"/>
      <c r="L189" s="15"/>
      <c r="M189" s="15"/>
      <c r="N189" s="15"/>
      <c r="O189" s="15"/>
    </row>
    <row r="190" spans="1:15" ht="12.75" customHeight="1" thickTop="1">
      <c r="A190" s="104"/>
      <c r="B190" s="738"/>
      <c r="C190" s="738"/>
      <c r="D190" s="738"/>
      <c r="E190" s="739"/>
      <c r="F190" s="740"/>
      <c r="G190" s="104"/>
      <c r="H190" s="14"/>
      <c r="I190" s="14"/>
      <c r="J190" s="14"/>
      <c r="K190" s="15"/>
      <c r="L190" s="15"/>
      <c r="M190" s="15"/>
      <c r="N190" s="15"/>
      <c r="O190" s="15"/>
    </row>
    <row r="191" spans="1:15" ht="12.75" customHeight="1" thickBot="1">
      <c r="A191" s="104"/>
      <c r="B191" s="741" t="s">
        <v>125</v>
      </c>
      <c r="C191" s="738"/>
      <c r="D191" s="738"/>
      <c r="E191" s="738"/>
      <c r="F191" s="738"/>
      <c r="G191" s="104"/>
      <c r="H191" s="14"/>
      <c r="I191" s="14"/>
      <c r="J191" s="14"/>
      <c r="K191" s="15"/>
      <c r="L191" s="15"/>
      <c r="M191" s="15"/>
      <c r="N191" s="15"/>
      <c r="O191" s="15"/>
    </row>
    <row r="192" spans="1:15" ht="12.75" customHeight="1" thickTop="1">
      <c r="A192" s="104"/>
      <c r="B192" s="742" t="s">
        <v>126</v>
      </c>
      <c r="C192" s="743">
        <v>13</v>
      </c>
      <c r="D192" s="744" t="s">
        <v>127</v>
      </c>
      <c r="E192" s="605">
        <v>22.5</v>
      </c>
      <c r="F192" s="623">
        <f t="shared" ref="F192:F199" si="1">ROUND(C192*E192,2)</f>
        <v>292.5</v>
      </c>
      <c r="G192" s="104"/>
      <c r="H192" s="14"/>
      <c r="I192" s="14"/>
      <c r="J192" s="14"/>
      <c r="K192" s="15"/>
      <c r="L192" s="15"/>
      <c r="M192" s="15"/>
      <c r="N192" s="15"/>
      <c r="O192" s="15"/>
    </row>
    <row r="193" spans="1:16" ht="12.75" customHeight="1">
      <c r="A193" s="104"/>
      <c r="B193" s="745" t="s">
        <v>128</v>
      </c>
      <c r="C193" s="746">
        <v>13</v>
      </c>
      <c r="D193" s="747" t="s">
        <v>127</v>
      </c>
      <c r="E193" s="615">
        <v>12.5</v>
      </c>
      <c r="F193" s="613">
        <f t="shared" si="1"/>
        <v>162.5</v>
      </c>
      <c r="G193" s="104"/>
      <c r="H193" s="14"/>
      <c r="I193" s="14"/>
      <c r="J193" s="14"/>
      <c r="K193" s="15"/>
      <c r="L193" s="15"/>
      <c r="M193" s="15"/>
      <c r="N193" s="15"/>
      <c r="O193" s="15"/>
    </row>
    <row r="194" spans="1:16" ht="12.75" customHeight="1">
      <c r="A194" s="104"/>
      <c r="B194" s="748" t="s">
        <v>129</v>
      </c>
      <c r="C194" s="749">
        <v>3.1199999999999999E-2</v>
      </c>
      <c r="D194" s="747" t="s">
        <v>23</v>
      </c>
      <c r="E194" s="615">
        <f>F92</f>
        <v>5023.96</v>
      </c>
      <c r="F194" s="613">
        <f t="shared" si="1"/>
        <v>156.75</v>
      </c>
      <c r="G194" s="104"/>
      <c r="H194" s="14"/>
      <c r="I194" s="14"/>
      <c r="J194" s="14"/>
      <c r="K194" s="15"/>
      <c r="L194" s="15"/>
      <c r="M194" s="15"/>
      <c r="N194" s="15"/>
      <c r="O194" s="15"/>
    </row>
    <row r="195" spans="1:16" ht="14.25" customHeight="1">
      <c r="A195" s="104"/>
      <c r="B195" s="745" t="s">
        <v>130</v>
      </c>
      <c r="C195" s="750">
        <v>0.01</v>
      </c>
      <c r="D195" s="747" t="s">
        <v>23</v>
      </c>
      <c r="E195" s="615">
        <f>F183</f>
        <v>3827.23</v>
      </c>
      <c r="F195" s="613">
        <f t="shared" si="1"/>
        <v>38.270000000000003</v>
      </c>
      <c r="G195" s="104"/>
      <c r="H195" s="14"/>
      <c r="I195" s="14"/>
      <c r="J195" s="14"/>
      <c r="K195" s="15"/>
      <c r="L195" s="15"/>
      <c r="M195" s="15"/>
      <c r="N195" s="15"/>
      <c r="O195" s="15"/>
    </row>
    <row r="196" spans="1:16" ht="12.75" customHeight="1">
      <c r="A196" s="104"/>
      <c r="B196" s="745" t="s">
        <v>131</v>
      </c>
      <c r="C196" s="749">
        <v>2.9600000000000001E-2</v>
      </c>
      <c r="D196" s="747" t="s">
        <v>27</v>
      </c>
      <c r="E196" s="615">
        <f>F172</f>
        <v>2745.66</v>
      </c>
      <c r="F196" s="613">
        <f t="shared" si="1"/>
        <v>81.27</v>
      </c>
      <c r="G196" s="104"/>
      <c r="H196" s="14"/>
      <c r="I196" s="14">
        <v>15</v>
      </c>
      <c r="J196" s="14"/>
      <c r="K196" s="15"/>
      <c r="L196" s="15"/>
      <c r="M196" s="15"/>
      <c r="N196" s="15"/>
      <c r="O196" s="15"/>
    </row>
    <row r="197" spans="1:16" ht="12.75" customHeight="1">
      <c r="A197" s="104"/>
      <c r="B197" s="745" t="s">
        <v>132</v>
      </c>
      <c r="C197" s="749">
        <v>0.18179999999999999</v>
      </c>
      <c r="D197" s="747" t="s">
        <v>61</v>
      </c>
      <c r="E197" s="615">
        <v>45</v>
      </c>
      <c r="F197" s="613">
        <f t="shared" si="1"/>
        <v>8.18</v>
      </c>
      <c r="G197" s="104"/>
      <c r="H197" s="14"/>
      <c r="I197" s="14"/>
      <c r="J197" s="14"/>
      <c r="K197" s="15"/>
      <c r="L197" s="45"/>
      <c r="M197" s="45"/>
      <c r="N197" s="45"/>
      <c r="O197" s="105"/>
      <c r="P197" s="106"/>
    </row>
    <row r="198" spans="1:16" ht="12.75" customHeight="1">
      <c r="A198" s="104"/>
      <c r="B198" s="745" t="s">
        <v>133</v>
      </c>
      <c r="C198" s="749">
        <v>2.3E-2</v>
      </c>
      <c r="D198" s="747" t="s">
        <v>53</v>
      </c>
      <c r="E198" s="615">
        <v>650</v>
      </c>
      <c r="F198" s="613">
        <f t="shared" si="1"/>
        <v>14.95</v>
      </c>
      <c r="G198" s="104"/>
      <c r="H198" s="14"/>
      <c r="I198" s="14"/>
      <c r="J198" s="14"/>
      <c r="K198" s="15"/>
      <c r="L198" s="45"/>
      <c r="M198" s="45"/>
      <c r="N198" s="45"/>
      <c r="O198" s="105"/>
      <c r="P198" s="106"/>
    </row>
    <row r="199" spans="1:16" ht="12.75" customHeight="1">
      <c r="A199" s="104"/>
      <c r="B199" s="745" t="s">
        <v>134</v>
      </c>
      <c r="C199" s="750">
        <v>0.01</v>
      </c>
      <c r="D199" s="747" t="s">
        <v>23</v>
      </c>
      <c r="E199" s="615">
        <v>650</v>
      </c>
      <c r="F199" s="613">
        <f t="shared" si="1"/>
        <v>6.5</v>
      </c>
      <c r="G199" s="104"/>
      <c r="H199" s="14"/>
      <c r="I199" s="14"/>
      <c r="J199" s="14"/>
      <c r="K199" s="15"/>
      <c r="L199" s="45"/>
      <c r="M199" s="45"/>
      <c r="N199" s="45"/>
      <c r="O199" s="105"/>
      <c r="P199" s="106"/>
    </row>
    <row r="200" spans="1:16" ht="12.75" customHeight="1" thickBot="1">
      <c r="A200" s="104"/>
      <c r="B200" s="751"/>
      <c r="C200" s="752"/>
      <c r="D200" s="1278" t="s">
        <v>135</v>
      </c>
      <c r="E200" s="1279"/>
      <c r="F200" s="753">
        <f>ROUND(SUM(F192:F199),2)</f>
        <v>760.92</v>
      </c>
      <c r="G200" s="104"/>
      <c r="H200" s="14"/>
      <c r="I200" s="14"/>
      <c r="J200" s="14"/>
      <c r="K200" s="15"/>
      <c r="L200" s="45"/>
      <c r="M200" s="45"/>
      <c r="N200" s="45"/>
      <c r="O200" s="105"/>
      <c r="P200" s="106"/>
    </row>
    <row r="201" spans="1:16" ht="12.75" customHeight="1" thickTop="1">
      <c r="A201" s="104"/>
      <c r="B201" s="738"/>
      <c r="C201" s="1280" t="s">
        <v>136</v>
      </c>
      <c r="D201" s="1280"/>
      <c r="E201" s="1280"/>
      <c r="F201" s="754">
        <f>(F200-F195)+((C195*5)*E195)</f>
        <v>914.01</v>
      </c>
      <c r="G201" s="104"/>
      <c r="H201" s="14"/>
      <c r="I201" s="14"/>
      <c r="J201" s="14"/>
      <c r="K201" s="15"/>
      <c r="L201" s="45"/>
      <c r="M201" s="45"/>
      <c r="N201" s="45"/>
      <c r="O201" s="105"/>
      <c r="P201" s="106"/>
    </row>
    <row r="202" spans="1:16" ht="12.75" customHeight="1">
      <c r="A202" s="104"/>
      <c r="B202" s="738"/>
      <c r="C202" s="755"/>
      <c r="D202" s="755"/>
      <c r="E202" s="755" t="s">
        <v>137</v>
      </c>
      <c r="F202" s="756">
        <f>F200-(F197+F198)</f>
        <v>737.79</v>
      </c>
      <c r="G202" s="104"/>
      <c r="H202" s="14"/>
      <c r="I202" s="14"/>
      <c r="J202" s="14"/>
      <c r="K202" s="15"/>
      <c r="L202" s="45"/>
      <c r="M202" s="45"/>
      <c r="N202" s="45"/>
      <c r="O202" s="105"/>
      <c r="P202" s="106"/>
    </row>
    <row r="203" spans="1:16" ht="6.75" customHeight="1">
      <c r="A203" s="104"/>
      <c r="B203" s="738"/>
      <c r="C203" s="755"/>
      <c r="D203" s="755"/>
      <c r="E203" s="755"/>
      <c r="F203" s="754"/>
      <c r="G203" s="104"/>
      <c r="H203" s="14"/>
      <c r="I203" s="14"/>
      <c r="J203" s="14"/>
      <c r="K203" s="15"/>
      <c r="L203" s="45"/>
      <c r="M203" s="45"/>
      <c r="N203" s="45"/>
      <c r="O203" s="105"/>
      <c r="P203" s="106"/>
    </row>
    <row r="204" spans="1:16" ht="12.75" customHeight="1" thickBot="1">
      <c r="A204" s="104"/>
      <c r="B204" s="741" t="s">
        <v>138</v>
      </c>
      <c r="C204" s="757"/>
      <c r="D204" s="738"/>
      <c r="E204" s="739"/>
      <c r="F204" s="740"/>
      <c r="G204" s="104"/>
      <c r="H204" s="103"/>
      <c r="I204" s="14"/>
      <c r="J204" s="14"/>
      <c r="K204" s="15"/>
      <c r="L204" s="45"/>
      <c r="M204" s="45"/>
      <c r="N204" s="45"/>
      <c r="O204" s="105"/>
      <c r="P204" s="106"/>
    </row>
    <row r="205" spans="1:16" ht="12.75" customHeight="1" thickTop="1">
      <c r="A205" s="104"/>
      <c r="B205" s="742" t="s">
        <v>139</v>
      </c>
      <c r="C205" s="743">
        <v>13</v>
      </c>
      <c r="D205" s="744" t="s">
        <v>127</v>
      </c>
      <c r="E205" s="605">
        <v>22</v>
      </c>
      <c r="F205" s="623">
        <f>ROUND(C205*E205,2)</f>
        <v>286</v>
      </c>
      <c r="G205" s="104"/>
      <c r="H205" s="103"/>
      <c r="I205" s="14"/>
      <c r="J205" s="14"/>
      <c r="K205" s="15"/>
      <c r="L205" s="45"/>
      <c r="M205" s="45"/>
      <c r="N205" s="45"/>
      <c r="O205" s="105"/>
      <c r="P205" s="106"/>
    </row>
    <row r="206" spans="1:16" s="103" customFormat="1">
      <c r="A206" s="104"/>
      <c r="B206" s="745" t="s">
        <v>140</v>
      </c>
      <c r="C206" s="746">
        <v>13</v>
      </c>
      <c r="D206" s="747" t="s">
        <v>127</v>
      </c>
      <c r="E206" s="615">
        <v>16</v>
      </c>
      <c r="F206" s="613">
        <f>ROUND(C206*E206,2)</f>
        <v>208</v>
      </c>
      <c r="G206" s="104"/>
    </row>
    <row r="207" spans="1:16" s="103" customFormat="1">
      <c r="A207" s="104"/>
      <c r="B207" s="745" t="s">
        <v>141</v>
      </c>
      <c r="C207" s="750">
        <v>8.6E-3</v>
      </c>
      <c r="D207" s="747" t="s">
        <v>23</v>
      </c>
      <c r="E207" s="615">
        <f>F84</f>
        <v>4794.42</v>
      </c>
      <c r="F207" s="613">
        <f>ROUND(C207*E207,2)</f>
        <v>41.23</v>
      </c>
      <c r="G207" s="104"/>
    </row>
    <row r="208" spans="1:16" s="103" customFormat="1">
      <c r="A208" s="104"/>
      <c r="B208" s="745" t="s">
        <v>142</v>
      </c>
      <c r="C208" s="746">
        <v>0.13</v>
      </c>
      <c r="D208" s="747" t="s">
        <v>127</v>
      </c>
      <c r="E208" s="615">
        <v>40</v>
      </c>
      <c r="F208" s="613">
        <f>ROUND(C208*E208,2)</f>
        <v>5.2</v>
      </c>
      <c r="G208" s="104"/>
    </row>
    <row r="209" spans="1:7" s="103" customFormat="1" ht="13.5" thickBot="1">
      <c r="A209" s="104"/>
      <c r="B209" s="751"/>
      <c r="C209" s="758"/>
      <c r="D209" s="752"/>
      <c r="E209" s="759" t="s">
        <v>43</v>
      </c>
      <c r="F209" s="753">
        <f>ROUND(SUM(F205:F208),2)</f>
        <v>540.42999999999995</v>
      </c>
      <c r="G209" s="104"/>
    </row>
    <row r="210" spans="1:7" s="103" customFormat="1" ht="13.5" thickTop="1">
      <c r="A210" s="107"/>
      <c r="B210" s="760"/>
      <c r="C210" s="761"/>
      <c r="D210" s="760"/>
      <c r="E210" s="755"/>
      <c r="F210" s="762"/>
      <c r="G210" s="104"/>
    </row>
    <row r="211" spans="1:7" s="103" customFormat="1" ht="13.5" thickBot="1">
      <c r="A211" s="107"/>
      <c r="B211" s="763" t="s">
        <v>143</v>
      </c>
      <c r="C211" s="764"/>
      <c r="D211" s="765"/>
      <c r="E211" s="766"/>
      <c r="F211" s="767"/>
      <c r="G211" s="104"/>
    </row>
    <row r="212" spans="1:7" s="103" customFormat="1" ht="13.5" thickTop="1">
      <c r="A212" s="107"/>
      <c r="B212" s="768" t="s">
        <v>144</v>
      </c>
      <c r="C212" s="769">
        <v>0.2</v>
      </c>
      <c r="D212" s="770" t="s">
        <v>65</v>
      </c>
      <c r="E212" s="771">
        <f>F200</f>
        <v>760.92</v>
      </c>
      <c r="F212" s="623">
        <f>ROUND(C212*E212,2)</f>
        <v>152.18</v>
      </c>
      <c r="G212" s="104"/>
    </row>
    <row r="213" spans="1:7" s="103" customFormat="1">
      <c r="A213" s="107"/>
      <c r="B213" s="772" t="s">
        <v>145</v>
      </c>
      <c r="C213" s="773">
        <v>0.4</v>
      </c>
      <c r="D213" s="774" t="s">
        <v>65</v>
      </c>
      <c r="E213" s="775">
        <f>F99</f>
        <v>246.8</v>
      </c>
      <c r="F213" s="613">
        <f>ROUND(C213*E213,2)</f>
        <v>98.72</v>
      </c>
      <c r="G213" s="104"/>
    </row>
    <row r="214" spans="1:7" s="103" customFormat="1">
      <c r="A214" s="107"/>
      <c r="B214" s="776" t="s">
        <v>87</v>
      </c>
      <c r="C214" s="777">
        <v>2</v>
      </c>
      <c r="D214" s="778" t="s">
        <v>89</v>
      </c>
      <c r="E214" s="779">
        <f>F137</f>
        <v>60.57</v>
      </c>
      <c r="F214" s="613">
        <f>ROUND(C214*E214,2)</f>
        <v>121.14</v>
      </c>
      <c r="G214" s="104"/>
    </row>
    <row r="215" spans="1:7" s="103" customFormat="1" ht="13.5" thickBot="1">
      <c r="A215" s="107"/>
      <c r="B215" s="780"/>
      <c r="C215" s="781"/>
      <c r="D215" s="782"/>
      <c r="E215" s="783" t="s">
        <v>43</v>
      </c>
      <c r="F215" s="784">
        <f>SUM(F212:F214)</f>
        <v>372.04</v>
      </c>
      <c r="G215" s="104"/>
    </row>
    <row r="216" spans="1:7" s="103" customFormat="1" ht="7.5" customHeight="1" thickTop="1">
      <c r="A216" s="107"/>
      <c r="B216" s="760"/>
      <c r="C216" s="761"/>
      <c r="D216" s="760"/>
      <c r="E216" s="755"/>
      <c r="F216" s="762"/>
      <c r="G216" s="104"/>
    </row>
    <row r="217" spans="1:7" s="103" customFormat="1" ht="13.5" thickBot="1">
      <c r="A217" s="107"/>
      <c r="B217" s="741" t="s">
        <v>146</v>
      </c>
      <c r="C217" s="738"/>
      <c r="D217" s="738"/>
      <c r="E217" s="738"/>
      <c r="F217" s="738"/>
      <c r="G217" s="104"/>
    </row>
    <row r="218" spans="1:7" s="103" customFormat="1" ht="13.5" thickTop="1">
      <c r="A218" s="104"/>
      <c r="B218" s="742" t="s">
        <v>147</v>
      </c>
      <c r="C218" s="743">
        <v>1</v>
      </c>
      <c r="D218" s="744" t="s">
        <v>65</v>
      </c>
      <c r="E218" s="605">
        <v>45</v>
      </c>
      <c r="F218" s="623">
        <f>ROUND(C218*E218,2)</f>
        <v>45</v>
      </c>
      <c r="G218" s="104"/>
    </row>
    <row r="219" spans="1:7" s="103" customFormat="1">
      <c r="A219" s="104"/>
      <c r="B219" s="745" t="s">
        <v>148</v>
      </c>
      <c r="C219" s="749">
        <v>0.105</v>
      </c>
      <c r="D219" s="747" t="s">
        <v>23</v>
      </c>
      <c r="E219" s="615">
        <f>F60</f>
        <v>4455.62</v>
      </c>
      <c r="F219" s="613">
        <f>ROUND(C219*E219,2)</f>
        <v>467.84</v>
      </c>
      <c r="G219" s="104"/>
    </row>
    <row r="220" spans="1:7" s="103" customFormat="1">
      <c r="A220" s="104"/>
      <c r="B220" s="745" t="s">
        <v>60</v>
      </c>
      <c r="C220" s="749">
        <v>2.1999999999999999E-2</v>
      </c>
      <c r="D220" s="747" t="s">
        <v>61</v>
      </c>
      <c r="E220" s="615">
        <v>45</v>
      </c>
      <c r="F220" s="613">
        <f>ROUND(C220*E220,2)</f>
        <v>0.99</v>
      </c>
      <c r="G220" s="104"/>
    </row>
    <row r="221" spans="1:7" s="103" customFormat="1">
      <c r="A221" s="104"/>
      <c r="B221" s="745" t="s">
        <v>149</v>
      </c>
      <c r="C221" s="746">
        <v>1</v>
      </c>
      <c r="D221" s="747" t="s">
        <v>65</v>
      </c>
      <c r="E221" s="615">
        <v>107.63</v>
      </c>
      <c r="F221" s="613">
        <f>ROUND(C221*E221,2)</f>
        <v>107.63</v>
      </c>
      <c r="G221" s="104"/>
    </row>
    <row r="222" spans="1:7" s="103" customFormat="1">
      <c r="A222" s="104"/>
      <c r="B222" s="745" t="s">
        <v>150</v>
      </c>
      <c r="C222" s="746">
        <f>1/0.8</f>
        <v>1.25</v>
      </c>
      <c r="D222" s="747" t="s">
        <v>108</v>
      </c>
      <c r="E222" s="615">
        <f>F137</f>
        <v>60.57</v>
      </c>
      <c r="F222" s="613">
        <f>ROUND(C222*E222,2)</f>
        <v>75.709999999999994</v>
      </c>
      <c r="G222" s="104"/>
    </row>
    <row r="223" spans="1:7" s="103" customFormat="1" ht="13.5" thickBot="1">
      <c r="A223" s="104"/>
      <c r="B223" s="751"/>
      <c r="C223" s="752"/>
      <c r="D223" s="752"/>
      <c r="E223" s="759" t="s">
        <v>43</v>
      </c>
      <c r="F223" s="785">
        <f>ROUND(SUM(F218:F222),2)</f>
        <v>697.17</v>
      </c>
      <c r="G223" s="104"/>
    </row>
    <row r="224" spans="1:7" s="103" customFormat="1" ht="13.5" thickTop="1">
      <c r="A224" s="104"/>
      <c r="B224" s="741" t="s">
        <v>151</v>
      </c>
      <c r="C224" s="786">
        <f>ROUND(F223-(F222)+(E222*1/0.4),2)</f>
        <v>772.89</v>
      </c>
      <c r="D224" s="760"/>
      <c r="E224" s="755"/>
      <c r="F224" s="787"/>
      <c r="G224" s="104"/>
    </row>
    <row r="225" spans="1:9" s="103" customFormat="1">
      <c r="A225" s="104"/>
      <c r="B225" s="741" t="s">
        <v>152</v>
      </c>
      <c r="C225" s="786">
        <f>ROUND(F223-(F222)+(E222*1/0.6),2)</f>
        <v>722.41</v>
      </c>
      <c r="D225" s="760"/>
      <c r="E225" s="755"/>
      <c r="F225" s="787"/>
      <c r="G225" s="104"/>
    </row>
    <row r="226" spans="1:9" s="103" customFormat="1">
      <c r="A226" s="104"/>
      <c r="B226" s="741" t="s">
        <v>153</v>
      </c>
      <c r="C226" s="786">
        <f>ROUND(F223-F222+(E222*1/1),2)</f>
        <v>682.03</v>
      </c>
      <c r="D226" s="760"/>
      <c r="E226" s="755"/>
      <c r="F226" s="787"/>
      <c r="G226" s="104"/>
    </row>
    <row r="227" spans="1:9" s="103" customFormat="1" ht="6" customHeight="1">
      <c r="A227" s="104"/>
      <c r="B227" s="741"/>
      <c r="C227" s="786"/>
      <c r="D227" s="788"/>
      <c r="E227" s="789"/>
      <c r="F227" s="790"/>
      <c r="G227" s="104"/>
    </row>
    <row r="228" spans="1:9" s="103" customFormat="1" ht="13.5" thickBot="1">
      <c r="A228" s="104"/>
      <c r="B228" s="791" t="s">
        <v>154</v>
      </c>
      <c r="C228" s="760"/>
      <c r="D228" s="760"/>
      <c r="E228" s="792"/>
      <c r="F228" s="762"/>
      <c r="G228" s="104"/>
    </row>
    <row r="229" spans="1:9" s="103" customFormat="1" ht="13.5" thickTop="1">
      <c r="A229" s="104"/>
      <c r="B229" s="742" t="s">
        <v>155</v>
      </c>
      <c r="C229" s="743">
        <v>0.08</v>
      </c>
      <c r="D229" s="793" t="s">
        <v>23</v>
      </c>
      <c r="E229" s="794">
        <f>F183</f>
        <v>3827.23</v>
      </c>
      <c r="F229" s="623">
        <f t="shared" ref="F229:F234" si="2">ROUND(C229*E229,2)</f>
        <v>306.18</v>
      </c>
      <c r="G229" s="104"/>
    </row>
    <row r="230" spans="1:9" s="103" customFormat="1">
      <c r="A230" s="104"/>
      <c r="B230" s="795" t="s">
        <v>156</v>
      </c>
      <c r="C230" s="796">
        <v>2.1999999999999999E-2</v>
      </c>
      <c r="D230" s="747" t="s">
        <v>23</v>
      </c>
      <c r="E230" s="797">
        <f>F84</f>
        <v>4794.42</v>
      </c>
      <c r="F230" s="613">
        <f t="shared" si="2"/>
        <v>105.48</v>
      </c>
      <c r="G230" s="104"/>
    </row>
    <row r="231" spans="1:9" s="103" customFormat="1">
      <c r="A231" s="104"/>
      <c r="B231" s="745" t="s">
        <v>60</v>
      </c>
      <c r="C231" s="749">
        <v>8.7999999999999995E-2</v>
      </c>
      <c r="D231" s="798" t="s">
        <v>61</v>
      </c>
      <c r="E231" s="797">
        <v>45</v>
      </c>
      <c r="F231" s="613">
        <f t="shared" si="2"/>
        <v>3.96</v>
      </c>
      <c r="G231" s="104"/>
    </row>
    <row r="232" spans="1:9" s="103" customFormat="1" ht="12" customHeight="1">
      <c r="A232" s="112"/>
      <c r="B232" s="745" t="s">
        <v>157</v>
      </c>
      <c r="C232" s="746">
        <v>1</v>
      </c>
      <c r="D232" s="747" t="s">
        <v>65</v>
      </c>
      <c r="E232" s="797">
        <v>98.5</v>
      </c>
      <c r="F232" s="613">
        <f t="shared" si="2"/>
        <v>98.5</v>
      </c>
      <c r="G232" s="104"/>
    </row>
    <row r="233" spans="1:9" s="103" customFormat="1">
      <c r="A233" s="113"/>
      <c r="B233" s="745" t="s">
        <v>150</v>
      </c>
      <c r="C233" s="746">
        <v>0.8</v>
      </c>
      <c r="D233" s="747" t="s">
        <v>108</v>
      </c>
      <c r="E233" s="797">
        <f>F137</f>
        <v>60.57</v>
      </c>
      <c r="F233" s="613">
        <f t="shared" si="2"/>
        <v>48.46</v>
      </c>
      <c r="G233" s="104"/>
      <c r="I233" s="114"/>
    </row>
    <row r="234" spans="1:9" s="103" customFormat="1">
      <c r="A234" s="113"/>
      <c r="B234" s="745" t="s">
        <v>158</v>
      </c>
      <c r="C234" s="749">
        <v>0.04</v>
      </c>
      <c r="D234" s="799" t="s">
        <v>39</v>
      </c>
      <c r="E234" s="797">
        <f>F13</f>
        <v>250</v>
      </c>
      <c r="F234" s="613">
        <f t="shared" si="2"/>
        <v>10</v>
      </c>
      <c r="G234" s="104"/>
    </row>
    <row r="235" spans="1:9" s="103" customFormat="1" ht="13.5" thickBot="1">
      <c r="A235" s="113"/>
      <c r="B235" s="751"/>
      <c r="C235" s="752"/>
      <c r="D235" s="752"/>
      <c r="E235" s="759" t="s">
        <v>43</v>
      </c>
      <c r="F235" s="753">
        <f>ROUND(SUM(F229:F234),2)</f>
        <v>572.58000000000004</v>
      </c>
      <c r="G235" s="104"/>
    </row>
    <row r="236" spans="1:9" s="103" customFormat="1" ht="14.25" thickTop="1" thickBot="1">
      <c r="A236" s="113"/>
      <c r="B236" s="800" t="s">
        <v>159</v>
      </c>
      <c r="C236" s="801">
        <v>0.45</v>
      </c>
      <c r="D236" s="802" t="s">
        <v>160</v>
      </c>
      <c r="E236" s="803">
        <v>37.22</v>
      </c>
      <c r="F236" s="804">
        <f>(C236*E236)+F235</f>
        <v>589.33000000000004</v>
      </c>
      <c r="G236" s="104"/>
    </row>
    <row r="237" spans="1:9" s="103" customFormat="1" ht="14.25" thickTop="1" thickBot="1">
      <c r="A237" s="113"/>
      <c r="B237" s="800" t="s">
        <v>161</v>
      </c>
      <c r="C237" s="801"/>
      <c r="D237" s="801"/>
      <c r="E237" s="805"/>
      <c r="F237" s="806">
        <f>F235-F234</f>
        <v>562.58000000000004</v>
      </c>
      <c r="G237" s="104"/>
    </row>
    <row r="238" spans="1:9" s="103" customFormat="1" ht="13.5" thickTop="1">
      <c r="A238" s="113"/>
      <c r="B238" s="108"/>
      <c r="C238" s="108"/>
      <c r="D238" s="108"/>
      <c r="E238" s="109"/>
      <c r="F238" s="111"/>
      <c r="G238" s="104"/>
    </row>
    <row r="239" spans="1:9" s="103" customFormat="1" ht="15">
      <c r="A239" s="113"/>
      <c r="B239" s="115" t="s">
        <v>162</v>
      </c>
      <c r="C239" s="116"/>
      <c r="D239" s="116"/>
      <c r="E239" s="116"/>
      <c r="F239" s="116"/>
      <c r="G239" s="104"/>
    </row>
    <row r="240" spans="1:9" s="103" customFormat="1" ht="13.5" thickBot="1">
      <c r="A240" s="113"/>
      <c r="B240" s="117" t="s">
        <v>163</v>
      </c>
      <c r="C240" s="118"/>
      <c r="D240" s="118"/>
      <c r="E240" s="118"/>
      <c r="F240" s="119"/>
      <c r="G240" s="104"/>
    </row>
    <row r="241" spans="1:10" s="103" customFormat="1" ht="13.5" thickTop="1">
      <c r="A241" s="113"/>
      <c r="B241" s="120" t="s">
        <v>148</v>
      </c>
      <c r="C241" s="121">
        <v>1.05</v>
      </c>
      <c r="D241" s="122" t="s">
        <v>23</v>
      </c>
      <c r="E241" s="123">
        <f>F60</f>
        <v>4455.62</v>
      </c>
      <c r="F241" s="21">
        <f>ROUND(C241*E241,2)</f>
        <v>4678.3999999999996</v>
      </c>
      <c r="G241" s="104"/>
    </row>
    <row r="242" spans="1:10" s="103" customFormat="1">
      <c r="A242" s="113"/>
      <c r="B242" s="124" t="s">
        <v>164</v>
      </c>
      <c r="C242" s="125">
        <v>0.6</v>
      </c>
      <c r="D242" s="126" t="s">
        <v>27</v>
      </c>
      <c r="E242" s="127">
        <f>F166</f>
        <v>2600.5500000000002</v>
      </c>
      <c r="F242" s="344">
        <f>ROUND(C242*E242,2)</f>
        <v>1560.33</v>
      </c>
      <c r="G242" s="104"/>
    </row>
    <row r="243" spans="1:10">
      <c r="B243" s="128" t="s">
        <v>64</v>
      </c>
      <c r="C243" s="129">
        <v>11.11</v>
      </c>
      <c r="D243" s="130" t="s">
        <v>89</v>
      </c>
      <c r="E243" s="131">
        <v>61.2</v>
      </c>
      <c r="F243" s="344">
        <f>ROUND(C243*E243,2)</f>
        <v>679.93</v>
      </c>
    </row>
    <row r="244" spans="1:10" ht="13.5" thickBot="1">
      <c r="B244" s="132"/>
      <c r="C244" s="133"/>
      <c r="D244" s="133"/>
      <c r="E244" s="134"/>
      <c r="F244" s="135">
        <f>SUM(F241:F243)</f>
        <v>6918.66</v>
      </c>
    </row>
    <row r="245" spans="1:10" ht="14.25" thickTop="1" thickBot="1">
      <c r="B245" s="136"/>
      <c r="C245" s="136"/>
      <c r="D245" s="136"/>
      <c r="E245" s="136"/>
      <c r="F245" s="137"/>
    </row>
    <row r="246" spans="1:10" ht="13.5" thickTop="1">
      <c r="B246" s="307" t="s">
        <v>165</v>
      </c>
      <c r="C246" s="308">
        <v>12</v>
      </c>
      <c r="D246" s="90" t="s">
        <v>89</v>
      </c>
      <c r="E246" s="309">
        <v>60</v>
      </c>
      <c r="F246" s="21">
        <f t="shared" ref="F246:F266" si="3">ROUND(C246*E246,2)</f>
        <v>720</v>
      </c>
    </row>
    <row r="247" spans="1:10">
      <c r="B247" s="310" t="s">
        <v>166</v>
      </c>
      <c r="C247" s="142">
        <v>6.75</v>
      </c>
      <c r="D247" s="139" t="s">
        <v>23</v>
      </c>
      <c r="E247" s="140">
        <v>240.23</v>
      </c>
      <c r="F247" s="344">
        <f t="shared" si="3"/>
        <v>1621.55</v>
      </c>
    </row>
    <row r="248" spans="1:10">
      <c r="B248" s="311" t="s">
        <v>167</v>
      </c>
      <c r="C248" s="138">
        <v>3.42</v>
      </c>
      <c r="D248" s="139" t="s">
        <v>23</v>
      </c>
      <c r="E248" s="140">
        <v>70.16</v>
      </c>
      <c r="F248" s="344">
        <f t="shared" si="3"/>
        <v>239.95</v>
      </c>
      <c r="J248" s="3">
        <v>60</v>
      </c>
    </row>
    <row r="249" spans="1:10">
      <c r="B249" s="311" t="s">
        <v>168</v>
      </c>
      <c r="C249" s="475">
        <v>4</v>
      </c>
      <c r="D249" s="139" t="s">
        <v>23</v>
      </c>
      <c r="E249" s="140">
        <v>75</v>
      </c>
      <c r="F249" s="344">
        <f t="shared" si="3"/>
        <v>300</v>
      </c>
      <c r="H249" s="3">
        <f>(C247-C248)*1.2</f>
        <v>4</v>
      </c>
    </row>
    <row r="250" spans="1:10">
      <c r="B250" s="311" t="s">
        <v>169</v>
      </c>
      <c r="C250" s="138">
        <v>1.35</v>
      </c>
      <c r="D250" s="139" t="s">
        <v>23</v>
      </c>
      <c r="E250" s="141">
        <f>+F244</f>
        <v>6918.66</v>
      </c>
      <c r="F250" s="344">
        <f t="shared" si="3"/>
        <v>9340.19</v>
      </c>
      <c r="J250" s="3">
        <v>12</v>
      </c>
    </row>
    <row r="251" spans="1:10">
      <c r="B251" s="311" t="s">
        <v>170</v>
      </c>
      <c r="C251" s="142">
        <v>7.2</v>
      </c>
      <c r="D251" s="139" t="s">
        <v>65</v>
      </c>
      <c r="E251" s="143">
        <f>F200</f>
        <v>760.92</v>
      </c>
      <c r="F251" s="344">
        <f t="shared" si="3"/>
        <v>5478.62</v>
      </c>
      <c r="J251" s="3">
        <f>J250*J248</f>
        <v>720</v>
      </c>
    </row>
    <row r="252" spans="1:10">
      <c r="B252" s="311" t="s">
        <v>171</v>
      </c>
      <c r="C252" s="142">
        <v>12</v>
      </c>
      <c r="D252" s="139" t="s">
        <v>108</v>
      </c>
      <c r="E252" s="143">
        <f>(F84*0.09)/12</f>
        <v>35.96</v>
      </c>
      <c r="F252" s="344">
        <f t="shared" si="3"/>
        <v>431.52</v>
      </c>
    </row>
    <row r="253" spans="1:10">
      <c r="B253" s="310" t="s">
        <v>172</v>
      </c>
      <c r="C253" s="142">
        <v>4</v>
      </c>
      <c r="D253" s="139" t="s">
        <v>127</v>
      </c>
      <c r="E253" s="323">
        <v>504.6</v>
      </c>
      <c r="F253" s="344">
        <f t="shared" si="3"/>
        <v>2018.4</v>
      </c>
    </row>
    <row r="254" spans="1:10">
      <c r="B254" s="311" t="s">
        <v>173</v>
      </c>
      <c r="C254" s="142">
        <v>2</v>
      </c>
      <c r="D254" s="139" t="s">
        <v>127</v>
      </c>
      <c r="E254" s="323">
        <v>609</v>
      </c>
      <c r="F254" s="344">
        <f t="shared" si="3"/>
        <v>1218</v>
      </c>
    </row>
    <row r="255" spans="1:10">
      <c r="B255" s="310" t="s">
        <v>174</v>
      </c>
      <c r="C255" s="142">
        <v>21.6</v>
      </c>
      <c r="D255" s="139" t="s">
        <v>65</v>
      </c>
      <c r="E255" s="323">
        <v>204.05</v>
      </c>
      <c r="F255" s="344">
        <f t="shared" si="3"/>
        <v>4407.4799999999996</v>
      </c>
    </row>
    <row r="256" spans="1:10">
      <c r="B256" s="311" t="s">
        <v>175</v>
      </c>
      <c r="C256" s="142">
        <v>2</v>
      </c>
      <c r="D256" s="139" t="s">
        <v>127</v>
      </c>
      <c r="E256" s="143">
        <v>38</v>
      </c>
      <c r="F256" s="344">
        <f t="shared" si="3"/>
        <v>76</v>
      </c>
    </row>
    <row r="257" spans="2:9">
      <c r="B257" s="311" t="s">
        <v>176</v>
      </c>
      <c r="C257" s="142">
        <v>3</v>
      </c>
      <c r="D257" s="139" t="s">
        <v>127</v>
      </c>
      <c r="E257" s="323">
        <v>52.2</v>
      </c>
      <c r="F257" s="344">
        <f t="shared" si="3"/>
        <v>156.6</v>
      </c>
    </row>
    <row r="258" spans="2:9">
      <c r="B258" s="310" t="s">
        <v>177</v>
      </c>
      <c r="C258" s="142">
        <v>4</v>
      </c>
      <c r="D258" s="139" t="s">
        <v>127</v>
      </c>
      <c r="E258" s="323">
        <v>168.2</v>
      </c>
      <c r="F258" s="344">
        <f t="shared" si="3"/>
        <v>672.8</v>
      </c>
    </row>
    <row r="259" spans="2:9">
      <c r="B259" s="311" t="s">
        <v>178</v>
      </c>
      <c r="C259" s="142">
        <v>72</v>
      </c>
      <c r="D259" s="139" t="s">
        <v>108</v>
      </c>
      <c r="E259" s="140">
        <v>9.3000000000000007</v>
      </c>
      <c r="F259" s="344">
        <f t="shared" si="3"/>
        <v>669.6</v>
      </c>
    </row>
    <row r="260" spans="2:9">
      <c r="B260" s="310" t="s">
        <v>179</v>
      </c>
      <c r="C260" s="142">
        <v>1</v>
      </c>
      <c r="D260" s="139" t="s">
        <v>115</v>
      </c>
      <c r="E260" s="143">
        <v>27.6</v>
      </c>
      <c r="F260" s="344">
        <f t="shared" si="3"/>
        <v>27.6</v>
      </c>
      <c r="I260" s="168"/>
    </row>
    <row r="261" spans="2:9">
      <c r="B261" s="311" t="s">
        <v>180</v>
      </c>
      <c r="C261" s="142">
        <v>10.08</v>
      </c>
      <c r="D261" s="139" t="s">
        <v>65</v>
      </c>
      <c r="E261" s="143">
        <f>F99</f>
        <v>246.8</v>
      </c>
      <c r="F261" s="344">
        <f t="shared" si="3"/>
        <v>2487.7399999999998</v>
      </c>
    </row>
    <row r="262" spans="2:9">
      <c r="B262" s="311" t="s">
        <v>181</v>
      </c>
      <c r="C262" s="142">
        <v>34.200000000000003</v>
      </c>
      <c r="D262" s="139" t="s">
        <v>65</v>
      </c>
      <c r="E262" s="143">
        <v>130.5</v>
      </c>
      <c r="F262" s="344">
        <f t="shared" si="3"/>
        <v>4463.1000000000004</v>
      </c>
    </row>
    <row r="263" spans="2:9">
      <c r="B263" s="311" t="s">
        <v>182</v>
      </c>
      <c r="C263" s="142">
        <v>2</v>
      </c>
      <c r="D263" s="139" t="s">
        <v>127</v>
      </c>
      <c r="E263" s="323">
        <v>214.6</v>
      </c>
      <c r="F263" s="344">
        <f t="shared" si="3"/>
        <v>429.2</v>
      </c>
    </row>
    <row r="264" spans="2:9">
      <c r="B264" s="311" t="s">
        <v>183</v>
      </c>
      <c r="C264" s="142">
        <v>6</v>
      </c>
      <c r="D264" s="139" t="s">
        <v>127</v>
      </c>
      <c r="E264" s="323">
        <v>27.84</v>
      </c>
      <c r="F264" s="344">
        <f t="shared" si="3"/>
        <v>167.04</v>
      </c>
    </row>
    <row r="265" spans="2:9">
      <c r="B265" s="311" t="s">
        <v>64</v>
      </c>
      <c r="C265" s="142">
        <v>12</v>
      </c>
      <c r="D265" s="139" t="s">
        <v>108</v>
      </c>
      <c r="E265" s="143">
        <v>259.8</v>
      </c>
      <c r="F265" s="344">
        <f t="shared" si="3"/>
        <v>3117.6</v>
      </c>
    </row>
    <row r="266" spans="2:9">
      <c r="B266" s="311" t="s">
        <v>184</v>
      </c>
      <c r="C266" s="142">
        <v>12.6</v>
      </c>
      <c r="D266" s="139" t="s">
        <v>65</v>
      </c>
      <c r="E266" s="143">
        <v>130.5</v>
      </c>
      <c r="F266" s="344">
        <f t="shared" si="3"/>
        <v>1644.3</v>
      </c>
    </row>
    <row r="267" spans="2:9">
      <c r="B267" s="312" t="s">
        <v>185</v>
      </c>
      <c r="C267" s="144"/>
      <c r="D267" s="144"/>
      <c r="E267" s="145"/>
      <c r="F267" s="313">
        <f>SUM(F246:F266)</f>
        <v>39687.29</v>
      </c>
    </row>
    <row r="268" spans="2:9" ht="13.5" thickBot="1">
      <c r="B268" s="314" t="s">
        <v>186</v>
      </c>
      <c r="C268" s="315"/>
      <c r="D268" s="316"/>
      <c r="E268" s="146" t="s">
        <v>187</v>
      </c>
      <c r="F268" s="317">
        <f>ROUND(F267/12,2)</f>
        <v>3307.27</v>
      </c>
    </row>
    <row r="269" spans="2:9" ht="15" customHeight="1" thickTop="1">
      <c r="B269" s="19" t="s">
        <v>188</v>
      </c>
      <c r="C269" s="20">
        <v>3</v>
      </c>
      <c r="D269" s="167" t="s">
        <v>127</v>
      </c>
      <c r="E269" s="20">
        <f>F295</f>
        <v>440.99</v>
      </c>
      <c r="F269" s="344">
        <f>ROUND(C269*E269,2)</f>
        <v>1322.97</v>
      </c>
    </row>
    <row r="270" spans="2:9" ht="15" customHeight="1">
      <c r="B270" s="312" t="s">
        <v>189</v>
      </c>
      <c r="C270" s="318"/>
      <c r="D270" s="319"/>
      <c r="E270" s="318"/>
      <c r="F270" s="320">
        <f>F267+F269</f>
        <v>41010.26</v>
      </c>
    </row>
    <row r="271" spans="2:9" ht="15" customHeight="1" thickBot="1">
      <c r="B271" s="314" t="s">
        <v>190</v>
      </c>
      <c r="C271" s="321"/>
      <c r="D271" s="322"/>
      <c r="E271" s="321"/>
      <c r="F271" s="317">
        <f>ROUND(F270/12,2)</f>
        <v>3417.52</v>
      </c>
    </row>
    <row r="272" spans="2:9" ht="9.75" customHeight="1" thickTop="1">
      <c r="D272" s="2"/>
    </row>
    <row r="273" spans="2:9" ht="13.5" thickBot="1">
      <c r="B273" s="44" t="s">
        <v>191</v>
      </c>
      <c r="D273" s="2"/>
    </row>
    <row r="274" spans="2:9" ht="13.5" thickTop="1">
      <c r="B274" s="120" t="s">
        <v>148</v>
      </c>
      <c r="C274" s="121">
        <v>1.05</v>
      </c>
      <c r="D274" s="122" t="s">
        <v>23</v>
      </c>
      <c r="E274" s="123">
        <f>F60</f>
        <v>4455.62</v>
      </c>
      <c r="F274" s="21">
        <f>ROUND(C274*E274,2)</f>
        <v>4678.3999999999996</v>
      </c>
    </row>
    <row r="275" spans="2:9">
      <c r="B275" s="124" t="s">
        <v>164</v>
      </c>
      <c r="C275" s="125">
        <v>1.1399999999999999</v>
      </c>
      <c r="D275" s="126" t="s">
        <v>27</v>
      </c>
      <c r="E275" s="127">
        <f>F172</f>
        <v>2745.66</v>
      </c>
      <c r="F275" s="344">
        <f>ROUND(C275*E275,2)</f>
        <v>3130.05</v>
      </c>
    </row>
    <row r="276" spans="2:9" ht="13.5" thickBot="1">
      <c r="B276" s="132"/>
      <c r="C276" s="133"/>
      <c r="D276" s="133"/>
      <c r="E276" s="146" t="s">
        <v>192</v>
      </c>
      <c r="F276" s="135">
        <f>SUM(F274:F275)</f>
        <v>7808.45</v>
      </c>
    </row>
    <row r="277" spans="2:9" ht="8.25" customHeight="1" thickTop="1">
      <c r="D277" s="2"/>
    </row>
    <row r="278" spans="2:9" ht="13.5" thickBot="1">
      <c r="B278" s="148" t="s">
        <v>193</v>
      </c>
      <c r="C278" s="118"/>
      <c r="D278" s="118"/>
      <c r="E278" s="118"/>
      <c r="F278" s="119"/>
    </row>
    <row r="279" spans="2:9" ht="13.5" thickTop="1">
      <c r="B279" s="120" t="s">
        <v>194</v>
      </c>
      <c r="C279" s="121">
        <v>1.05</v>
      </c>
      <c r="D279" s="122" t="s">
        <v>23</v>
      </c>
      <c r="E279" s="123">
        <f>F50</f>
        <v>4962.82</v>
      </c>
      <c r="F279" s="21">
        <f>ROUND(C279*E279,2)</f>
        <v>5210.96</v>
      </c>
      <c r="I279" s="147"/>
    </row>
    <row r="280" spans="2:9">
      <c r="B280" s="124" t="s">
        <v>164</v>
      </c>
      <c r="C280" s="125">
        <v>3.63</v>
      </c>
      <c r="D280" s="126" t="s">
        <v>27</v>
      </c>
      <c r="E280" s="127">
        <f>F172</f>
        <v>2745.66</v>
      </c>
      <c r="F280" s="344">
        <f>ROUND(C280*E280,2)</f>
        <v>9966.75</v>
      </c>
      <c r="I280" s="147"/>
    </row>
    <row r="281" spans="2:9">
      <c r="B281" s="128" t="s">
        <v>195</v>
      </c>
      <c r="C281" s="129">
        <v>16</v>
      </c>
      <c r="D281" s="130" t="s">
        <v>89</v>
      </c>
      <c r="E281" s="131">
        <v>325</v>
      </c>
      <c r="F281" s="344">
        <f>ROUND(C281*E281,2)</f>
        <v>5200</v>
      </c>
      <c r="I281" s="147"/>
    </row>
    <row r="282" spans="2:9" ht="13.5" thickBot="1">
      <c r="B282" s="132"/>
      <c r="C282" s="133"/>
      <c r="D282" s="133"/>
      <c r="E282" s="146" t="s">
        <v>192</v>
      </c>
      <c r="F282" s="135">
        <f>SUM(F279:F281)</f>
        <v>20377.71</v>
      </c>
      <c r="I282" s="199"/>
    </row>
    <row r="283" spans="2:9" ht="13.5" thickTop="1">
      <c r="B283" s="489" t="s">
        <v>196</v>
      </c>
      <c r="C283" s="20">
        <v>0.18</v>
      </c>
      <c r="D283" s="167" t="s">
        <v>23</v>
      </c>
      <c r="E283" s="20">
        <f>F282</f>
        <v>20377.71</v>
      </c>
      <c r="F283" s="490">
        <f>ROUND(C283*E283,2)</f>
        <v>3667.99</v>
      </c>
      <c r="I283" s="306"/>
    </row>
    <row r="284" spans="2:9">
      <c r="B284" s="491" t="s">
        <v>197</v>
      </c>
      <c r="C284" s="24">
        <v>0.14000000000000001</v>
      </c>
      <c r="D284" s="1248" t="s">
        <v>23</v>
      </c>
      <c r="E284" s="24">
        <f>F276</f>
        <v>7808.45</v>
      </c>
      <c r="F284" s="344">
        <f>ROUND(C284*E284,2)</f>
        <v>1093.18</v>
      </c>
      <c r="I284" s="306"/>
    </row>
    <row r="285" spans="2:9">
      <c r="B285" s="491" t="s">
        <v>145</v>
      </c>
      <c r="C285" s="24">
        <v>2.86</v>
      </c>
      <c r="D285" s="1248" t="s">
        <v>65</v>
      </c>
      <c r="E285" s="24">
        <f>F99</f>
        <v>246.8</v>
      </c>
      <c r="F285" s="344">
        <f>ROUND(C285*E285,2)</f>
        <v>705.85</v>
      </c>
      <c r="I285" s="306"/>
    </row>
    <row r="286" spans="2:9">
      <c r="B286" s="491" t="s">
        <v>87</v>
      </c>
      <c r="C286" s="24">
        <v>12.2</v>
      </c>
      <c r="D286" s="1248" t="s">
        <v>89</v>
      </c>
      <c r="E286" s="24">
        <f>F137</f>
        <v>60.57</v>
      </c>
      <c r="F286" s="344">
        <f>ROUND(C286*E286,2)</f>
        <v>738.95</v>
      </c>
      <c r="I286" s="306"/>
    </row>
    <row r="287" spans="2:9" ht="12.75" customHeight="1">
      <c r="B287" s="492" t="s">
        <v>198</v>
      </c>
      <c r="C287" s="24">
        <v>1.76</v>
      </c>
      <c r="D287" s="363" t="s">
        <v>65</v>
      </c>
      <c r="E287" s="318">
        <v>95.48</v>
      </c>
      <c r="F287" s="344">
        <f>ROUND(C287*E287,2)</f>
        <v>168.04</v>
      </c>
      <c r="I287" s="168"/>
    </row>
    <row r="288" spans="2:9" ht="12.75" customHeight="1" thickBot="1">
      <c r="B288" s="493"/>
      <c r="C288" s="321"/>
      <c r="D288" s="322"/>
      <c r="E288" s="494" t="s">
        <v>199</v>
      </c>
      <c r="F288" s="27">
        <f>SUM(F283:F287)</f>
        <v>6374.01</v>
      </c>
      <c r="I288" s="168"/>
    </row>
    <row r="289" spans="2:9" ht="12.75" customHeight="1" thickTop="1">
      <c r="D289" s="2"/>
      <c r="I289" s="168"/>
    </row>
    <row r="290" spans="2:9" ht="13.5" thickBot="1">
      <c r="B290" s="43" t="s">
        <v>200</v>
      </c>
      <c r="C290" s="293"/>
      <c r="D290" s="294"/>
      <c r="E290" s="293"/>
      <c r="F290" s="293"/>
    </row>
    <row r="291" spans="2:9" ht="13.5" thickTop="1">
      <c r="B291" s="19" t="s">
        <v>148</v>
      </c>
      <c r="C291" s="295">
        <v>1.05</v>
      </c>
      <c r="D291" s="167" t="s">
        <v>23</v>
      </c>
      <c r="E291" s="295">
        <f>F60</f>
        <v>4455.62</v>
      </c>
      <c r="F291" s="21">
        <f>ROUND(C291*E291,2)</f>
        <v>4678.3999999999996</v>
      </c>
    </row>
    <row r="292" spans="2:9">
      <c r="B292" s="23" t="s">
        <v>164</v>
      </c>
      <c r="C292" s="296">
        <v>8.15</v>
      </c>
      <c r="D292" s="1248" t="s">
        <v>27</v>
      </c>
      <c r="E292" s="296">
        <f>F172</f>
        <v>2745.66</v>
      </c>
      <c r="F292" s="344">
        <f>ROUND(C292*E292,2)</f>
        <v>22377.13</v>
      </c>
      <c r="I292" s="304"/>
    </row>
    <row r="293" spans="2:9">
      <c r="B293" s="23" t="s">
        <v>201</v>
      </c>
      <c r="C293" s="296">
        <v>44.44</v>
      </c>
      <c r="D293" s="1248" t="s">
        <v>108</v>
      </c>
      <c r="E293" s="296">
        <v>100</v>
      </c>
      <c r="F293" s="344">
        <f>ROUND(C293*E293,2)</f>
        <v>4444</v>
      </c>
    </row>
    <row r="294" spans="2:9" ht="13.5" thickBot="1">
      <c r="B294" s="29"/>
      <c r="C294" s="297"/>
      <c r="D294" s="176"/>
      <c r="E294" s="298"/>
      <c r="F294" s="299">
        <f>SUM(F291:F293)</f>
        <v>31499.53</v>
      </c>
    </row>
    <row r="295" spans="2:9" ht="13.5" thickTop="1">
      <c r="B295" s="300" t="s">
        <v>202</v>
      </c>
      <c r="C295" s="303">
        <f>0.15*0.15*0.6</f>
        <v>1.4E-2</v>
      </c>
      <c r="D295" s="302" t="s">
        <v>23</v>
      </c>
      <c r="E295" s="301">
        <f>F294</f>
        <v>31499.53</v>
      </c>
      <c r="F295" s="305">
        <f>ROUND(C295*E295,2)</f>
        <v>440.99</v>
      </c>
    </row>
    <row r="296" spans="2:9">
      <c r="D296" s="2"/>
    </row>
    <row r="297" spans="2:9">
      <c r="D297" s="2"/>
    </row>
    <row r="298" spans="2:9" ht="13.5" thickBot="1">
      <c r="B298" s="149" t="s">
        <v>203</v>
      </c>
      <c r="C298" s="150"/>
      <c r="D298" s="151"/>
      <c r="E298" s="150"/>
      <c r="F298" s="150"/>
    </row>
    <row r="299" spans="2:9" ht="13.5" thickTop="1">
      <c r="B299" s="152" t="s">
        <v>204</v>
      </c>
      <c r="C299" s="153">
        <v>0.08</v>
      </c>
      <c r="D299" s="154" t="s">
        <v>18</v>
      </c>
      <c r="E299" s="155">
        <v>210</v>
      </c>
      <c r="F299" s="21">
        <f>ROUND(C299*E299,2)</f>
        <v>16.8</v>
      </c>
    </row>
    <row r="300" spans="2:9">
      <c r="B300" s="156" t="s">
        <v>205</v>
      </c>
      <c r="C300" s="157">
        <v>1</v>
      </c>
      <c r="D300" s="158" t="s">
        <v>65</v>
      </c>
      <c r="E300" s="159">
        <v>35.68</v>
      </c>
      <c r="F300" s="344">
        <f>ROUND(C300*E300,2)</f>
        <v>35.68</v>
      </c>
    </row>
    <row r="301" spans="2:9">
      <c r="B301" s="156" t="s">
        <v>206</v>
      </c>
      <c r="C301" s="157">
        <v>15</v>
      </c>
      <c r="D301" s="160" t="s">
        <v>207</v>
      </c>
      <c r="E301" s="159">
        <f>F299</f>
        <v>16.8</v>
      </c>
      <c r="F301" s="344">
        <f>ROUND(C301*E301,2)/100</f>
        <v>2.52</v>
      </c>
    </row>
    <row r="302" spans="2:9" ht="13.5" thickBot="1">
      <c r="B302" s="161"/>
      <c r="C302" s="162"/>
      <c r="D302" s="163"/>
      <c r="E302" s="146" t="s">
        <v>208</v>
      </c>
      <c r="F302" s="332">
        <f>SUM(F299:F301)</f>
        <v>55</v>
      </c>
    </row>
    <row r="303" spans="2:9">
      <c r="D303" s="2"/>
    </row>
    <row r="304" spans="2:9" ht="13.5" thickBot="1">
      <c r="B304" s="149" t="s">
        <v>209</v>
      </c>
      <c r="C304" s="150"/>
      <c r="D304" s="151"/>
      <c r="E304" s="150"/>
      <c r="F304" s="150"/>
    </row>
    <row r="305" spans="2:8" ht="13.5" thickTop="1">
      <c r="B305" s="152" t="s">
        <v>210</v>
      </c>
      <c r="C305" s="153">
        <v>0.08</v>
      </c>
      <c r="D305" s="154" t="s">
        <v>18</v>
      </c>
      <c r="E305" s="155">
        <v>650</v>
      </c>
      <c r="F305" s="344">
        <f>ROUND(C305*E305,2)</f>
        <v>52</v>
      </c>
    </row>
    <row r="306" spans="2:8">
      <c r="B306" s="156" t="s">
        <v>211</v>
      </c>
      <c r="C306" s="157">
        <v>1</v>
      </c>
      <c r="D306" s="158" t="s">
        <v>65</v>
      </c>
      <c r="E306" s="159">
        <v>35.68</v>
      </c>
      <c r="F306" s="344">
        <f>ROUND(C306*E306,2)</f>
        <v>35.68</v>
      </c>
      <c r="H306" s="147">
        <v>21.41</v>
      </c>
    </row>
    <row r="307" spans="2:8">
      <c r="B307" s="156" t="s">
        <v>212</v>
      </c>
      <c r="C307" s="157">
        <v>15</v>
      </c>
      <c r="D307" s="160" t="s">
        <v>207</v>
      </c>
      <c r="E307" s="159">
        <f>F305</f>
        <v>52</v>
      </c>
      <c r="F307" s="344">
        <f>ROUND(C307*E307,2)/100</f>
        <v>7.8</v>
      </c>
      <c r="H307" s="147">
        <v>14.27</v>
      </c>
    </row>
    <row r="308" spans="2:8" ht="13.5" thickBot="1">
      <c r="B308" s="161"/>
      <c r="C308" s="162"/>
      <c r="D308" s="163"/>
      <c r="E308" s="146" t="s">
        <v>208</v>
      </c>
      <c r="F308" s="333">
        <f>SUM(F305:F307)</f>
        <v>95.48</v>
      </c>
      <c r="H308" s="147">
        <f>H307+H306</f>
        <v>35.68</v>
      </c>
    </row>
    <row r="309" spans="2:8">
      <c r="D309" s="2"/>
    </row>
    <row r="310" spans="2:8" ht="15.75">
      <c r="B310" s="1262" t="s">
        <v>213</v>
      </c>
      <c r="C310" s="1262"/>
      <c r="D310" s="1262"/>
      <c r="E310" s="1262"/>
      <c r="F310" s="1262"/>
    </row>
    <row r="311" spans="2:8">
      <c r="D311" s="2"/>
    </row>
    <row r="312" spans="2:8" ht="13.5" thickBot="1">
      <c r="B312" s="148" t="s">
        <v>214</v>
      </c>
      <c r="C312" s="203">
        <v>0.15</v>
      </c>
      <c r="D312" s="118"/>
      <c r="E312" s="118"/>
      <c r="F312" s="119"/>
    </row>
    <row r="313" spans="2:8" ht="13.5" thickTop="1">
      <c r="B313" s="120" t="s">
        <v>215</v>
      </c>
      <c r="C313" s="121">
        <v>1.05</v>
      </c>
      <c r="D313" s="122" t="s">
        <v>23</v>
      </c>
      <c r="E313" s="123">
        <f>F41</f>
        <v>5982.82</v>
      </c>
      <c r="F313" s="21">
        <f>ROUND(C313*E313,2)</f>
        <v>6281.96</v>
      </c>
    </row>
    <row r="314" spans="2:8">
      <c r="B314" s="124" t="s">
        <v>164</v>
      </c>
      <c r="C314" s="125">
        <v>3.01</v>
      </c>
      <c r="D314" s="126" t="s">
        <v>27</v>
      </c>
      <c r="E314" s="127">
        <f>F172</f>
        <v>2745.66</v>
      </c>
      <c r="F314" s="344">
        <f>ROUND(C314*E314,2)</f>
        <v>8264.44</v>
      </c>
    </row>
    <row r="315" spans="2:8">
      <c r="B315" s="128" t="s">
        <v>195</v>
      </c>
      <c r="C315" s="129">
        <f>ROUND(1/C312,2)</f>
        <v>6.67</v>
      </c>
      <c r="D315" s="130" t="s">
        <v>89</v>
      </c>
      <c r="E315" s="131">
        <v>550</v>
      </c>
      <c r="F315" s="344">
        <f>ROUND(C315*E315,2)</f>
        <v>3668.5</v>
      </c>
    </row>
    <row r="316" spans="2:8" ht="13.5" thickBot="1">
      <c r="B316" s="132"/>
      <c r="C316" s="133"/>
      <c r="D316" s="133"/>
      <c r="E316" s="146" t="s">
        <v>192</v>
      </c>
      <c r="F316" s="135">
        <f>SUM(F313:F315)</f>
        <v>18214.900000000001</v>
      </c>
    </row>
    <row r="317" spans="2:8" ht="13.5" thickTop="1">
      <c r="D317" s="2"/>
    </row>
    <row r="318" spans="2:8" ht="13.5" thickBot="1">
      <c r="B318" s="148" t="s">
        <v>216</v>
      </c>
      <c r="C318" s="203"/>
      <c r="D318" s="118"/>
      <c r="E318" s="118"/>
      <c r="F318" s="119"/>
    </row>
    <row r="319" spans="2:8" ht="13.5" thickTop="1">
      <c r="B319" s="120" t="s">
        <v>215</v>
      </c>
      <c r="C319" s="121">
        <v>1.05</v>
      </c>
      <c r="D319" s="122" t="s">
        <v>23</v>
      </c>
      <c r="E319" s="123">
        <f>F41</f>
        <v>5982.82</v>
      </c>
      <c r="F319" s="21">
        <f>ROUND(C319*E319,2)</f>
        <v>6281.96</v>
      </c>
    </row>
    <row r="320" spans="2:8">
      <c r="B320" s="124" t="s">
        <v>164</v>
      </c>
      <c r="C320" s="125">
        <v>1.49</v>
      </c>
      <c r="D320" s="126" t="s">
        <v>27</v>
      </c>
      <c r="E320" s="127">
        <f>F172</f>
        <v>2745.66</v>
      </c>
      <c r="F320" s="344">
        <f>ROUND(C320*E320,2)</f>
        <v>4091.03</v>
      </c>
    </row>
    <row r="321" spans="2:6" ht="13.5" thickBot="1">
      <c r="B321" s="132"/>
      <c r="C321" s="133"/>
      <c r="D321" s="133"/>
      <c r="E321" s="146" t="s">
        <v>192</v>
      </c>
      <c r="F321" s="135">
        <f>SUM(F319:F320)</f>
        <v>10372.99</v>
      </c>
    </row>
    <row r="322" spans="2:6" ht="13.5" thickTop="1">
      <c r="B322" s="204"/>
      <c r="C322" s="204"/>
      <c r="D322" s="204"/>
      <c r="E322" s="205"/>
      <c r="F322" s="206"/>
    </row>
    <row r="323" spans="2:6" ht="13.5" thickBot="1">
      <c r="B323" s="148" t="s">
        <v>217</v>
      </c>
      <c r="C323" s="207">
        <v>0.1</v>
      </c>
      <c r="D323" s="118"/>
      <c r="E323" s="118"/>
      <c r="F323" s="119"/>
    </row>
    <row r="324" spans="2:6" ht="13.5" thickTop="1">
      <c r="B324" s="120" t="s">
        <v>215</v>
      </c>
      <c r="C324" s="121">
        <v>1.05</v>
      </c>
      <c r="D324" s="122" t="s">
        <v>23</v>
      </c>
      <c r="E324" s="123">
        <f>F41</f>
        <v>5982.82</v>
      </c>
      <c r="F324" s="21">
        <f>ROUND(C324*E324,2)</f>
        <v>6281.96</v>
      </c>
    </row>
    <row r="325" spans="2:6">
      <c r="B325" s="124" t="s">
        <v>164</v>
      </c>
      <c r="C325" s="125">
        <v>1.0900000000000001</v>
      </c>
      <c r="D325" s="126" t="s">
        <v>27</v>
      </c>
      <c r="E325" s="127">
        <f>F172</f>
        <v>2745.66</v>
      </c>
      <c r="F325" s="344">
        <f>ROUND(C325*E325,2)</f>
        <v>2992.77</v>
      </c>
    </row>
    <row r="326" spans="2:6">
      <c r="B326" s="128" t="s">
        <v>195</v>
      </c>
      <c r="C326" s="129">
        <f>ROUND(1/C323,2)</f>
        <v>10</v>
      </c>
      <c r="D326" s="130" t="s">
        <v>89</v>
      </c>
      <c r="E326" s="131">
        <v>185</v>
      </c>
      <c r="F326" s="344">
        <f>ROUND(C326*E326,2)</f>
        <v>1850</v>
      </c>
    </row>
    <row r="327" spans="2:6" ht="13.5" thickBot="1">
      <c r="B327" s="132"/>
      <c r="C327" s="133"/>
      <c r="D327" s="133"/>
      <c r="E327" s="146" t="s">
        <v>192</v>
      </c>
      <c r="F327" s="135">
        <f>SUM(F324:F326)</f>
        <v>11124.73</v>
      </c>
    </row>
    <row r="328" spans="2:6" ht="13.5" thickTop="1">
      <c r="B328" s="204"/>
      <c r="C328" s="204"/>
      <c r="D328" s="204"/>
      <c r="E328" s="205"/>
      <c r="F328" s="206"/>
    </row>
    <row r="329" spans="2:6" ht="13.5" thickBot="1">
      <c r="B329" s="148" t="s">
        <v>218</v>
      </c>
      <c r="C329" s="118"/>
      <c r="D329" s="118"/>
      <c r="E329" s="118"/>
      <c r="F329" s="119"/>
    </row>
    <row r="330" spans="2:6" ht="13.5" thickTop="1">
      <c r="B330" s="120" t="s">
        <v>219</v>
      </c>
      <c r="C330" s="121">
        <v>1.05</v>
      </c>
      <c r="D330" s="122" t="s">
        <v>23</v>
      </c>
      <c r="E330" s="123">
        <f>F60</f>
        <v>4455.62</v>
      </c>
      <c r="F330" s="21">
        <f>ROUND(C330*E330,2)</f>
        <v>4678.3999999999996</v>
      </c>
    </row>
    <row r="331" spans="2:6">
      <c r="B331" s="124" t="s">
        <v>164</v>
      </c>
      <c r="C331" s="125">
        <v>1.4</v>
      </c>
      <c r="D331" s="126" t="s">
        <v>27</v>
      </c>
      <c r="E331" s="127">
        <f>F172</f>
        <v>2745.66</v>
      </c>
      <c r="F331" s="344">
        <f>ROUND(C331*E331,2)</f>
        <v>3843.92</v>
      </c>
    </row>
    <row r="332" spans="2:6">
      <c r="B332" s="128" t="s">
        <v>195</v>
      </c>
      <c r="C332" s="208">
        <v>10</v>
      </c>
      <c r="D332" s="130" t="s">
        <v>89</v>
      </c>
      <c r="E332" s="131">
        <v>185</v>
      </c>
      <c r="F332" s="344">
        <f>ROUND(C332*E332,2)</f>
        <v>1850</v>
      </c>
    </row>
    <row r="333" spans="2:6" ht="13.5" thickBot="1">
      <c r="B333" s="132"/>
      <c r="C333" s="133"/>
      <c r="D333" s="133"/>
      <c r="E333" s="146" t="s">
        <v>192</v>
      </c>
      <c r="F333" s="135">
        <f>SUM(F330:F332)</f>
        <v>10372.32</v>
      </c>
    </row>
    <row r="334" spans="2:6" ht="13.5" thickTop="1">
      <c r="D334" s="2"/>
    </row>
    <row r="335" spans="2:6" ht="15.75">
      <c r="B335" s="1262" t="s">
        <v>220</v>
      </c>
      <c r="C335" s="1262"/>
      <c r="D335" s="1262"/>
      <c r="E335" s="1262"/>
      <c r="F335" s="1262"/>
    </row>
    <row r="336" spans="2:6">
      <c r="D336" s="2"/>
    </row>
    <row r="337" spans="2:9" ht="13.5" thickBot="1">
      <c r="B337" s="148" t="s">
        <v>221</v>
      </c>
      <c r="C337" s="118"/>
      <c r="D337" s="118"/>
      <c r="E337" s="118"/>
      <c r="F337" s="119"/>
    </row>
    <row r="338" spans="2:9" ht="13.5" thickTop="1">
      <c r="B338" s="120" t="s">
        <v>194</v>
      </c>
      <c r="C338" s="121">
        <v>1.05</v>
      </c>
      <c r="D338" s="122" t="s">
        <v>23</v>
      </c>
      <c r="E338" s="123">
        <f>F50</f>
        <v>4962.82</v>
      </c>
      <c r="F338" s="21">
        <f>ROUND(C338*E338,2)</f>
        <v>5210.96</v>
      </c>
    </row>
    <row r="339" spans="2:9">
      <c r="B339" s="124" t="s">
        <v>164</v>
      </c>
      <c r="C339" s="125">
        <v>0.1</v>
      </c>
      <c r="D339" s="126" t="s">
        <v>27</v>
      </c>
      <c r="E339" s="127">
        <f>F166</f>
        <v>2600.5500000000002</v>
      </c>
      <c r="F339" s="344">
        <f>ROUND(C339*E339,2)</f>
        <v>260.06</v>
      </c>
      <c r="I339" s="3">
        <f>33.33*61.2</f>
        <v>2039.8</v>
      </c>
    </row>
    <row r="340" spans="2:9">
      <c r="B340" s="128" t="s">
        <v>195</v>
      </c>
      <c r="C340" s="129">
        <v>33.33</v>
      </c>
      <c r="D340" s="130" t="s">
        <v>89</v>
      </c>
      <c r="E340" s="131">
        <v>250</v>
      </c>
      <c r="F340" s="344">
        <f>ROUND(C340*E340,2)</f>
        <v>8332.5</v>
      </c>
    </row>
    <row r="341" spans="2:9" ht="13.5" thickBot="1">
      <c r="B341" s="132"/>
      <c r="C341" s="133"/>
      <c r="D341" s="133"/>
      <c r="E341" s="146" t="s">
        <v>192</v>
      </c>
      <c r="F341" s="135">
        <f>SUM(F338:F340)</f>
        <v>13803.52</v>
      </c>
    </row>
    <row r="342" spans="2:9" ht="13.5" thickTop="1">
      <c r="D342" s="2"/>
    </row>
    <row r="343" spans="2:9" ht="13.5" thickBot="1">
      <c r="B343" s="148" t="s">
        <v>222</v>
      </c>
      <c r="C343" s="118"/>
      <c r="D343" s="118"/>
      <c r="E343" s="118"/>
      <c r="F343" s="119"/>
    </row>
    <row r="344" spans="2:9" ht="13.5" thickTop="1">
      <c r="B344" s="120" t="s">
        <v>219</v>
      </c>
      <c r="C344" s="121">
        <v>1.05</v>
      </c>
      <c r="D344" s="122" t="s">
        <v>23</v>
      </c>
      <c r="E344" s="123">
        <f>F60</f>
        <v>4455.62</v>
      </c>
      <c r="F344" s="21">
        <f>ROUND(C344*E344,2)</f>
        <v>4678.3999999999996</v>
      </c>
      <c r="I344" s="3">
        <f>10*61.2</f>
        <v>612</v>
      </c>
    </row>
    <row r="345" spans="2:9">
      <c r="B345" s="124" t="s">
        <v>164</v>
      </c>
      <c r="C345" s="125">
        <v>1.17</v>
      </c>
      <c r="D345" s="126" t="s">
        <v>27</v>
      </c>
      <c r="E345" s="127">
        <f>F166</f>
        <v>2600.5500000000002</v>
      </c>
      <c r="F345" s="344">
        <f>ROUND(C345*E345,2)</f>
        <v>3042.64</v>
      </c>
    </row>
    <row r="346" spans="2:9">
      <c r="B346" s="128" t="s">
        <v>195</v>
      </c>
      <c r="C346" s="129">
        <v>10</v>
      </c>
      <c r="D346" s="130" t="s">
        <v>89</v>
      </c>
      <c r="E346" s="131">
        <v>185</v>
      </c>
      <c r="F346" s="344">
        <f>ROUND(C346*E346,2)</f>
        <v>1850</v>
      </c>
    </row>
    <row r="347" spans="2:9" ht="13.5" thickBot="1">
      <c r="B347" s="132"/>
      <c r="C347" s="133"/>
      <c r="D347" s="133"/>
      <c r="E347" s="146" t="s">
        <v>192</v>
      </c>
      <c r="F347" s="135">
        <f>SUM(F344:F346)</f>
        <v>9571.0400000000009</v>
      </c>
    </row>
    <row r="348" spans="2:9" ht="13.5" thickTop="1">
      <c r="D348" s="2"/>
    </row>
    <row r="349" spans="2:9" ht="13.5" thickBot="1">
      <c r="B349" s="44" t="s">
        <v>223</v>
      </c>
      <c r="C349" s="164">
        <f>2.1*0.9</f>
        <v>1.89</v>
      </c>
      <c r="D349" s="165" t="s">
        <v>65</v>
      </c>
      <c r="E349" s="166">
        <v>20.32</v>
      </c>
      <c r="F349" s="16" t="s">
        <v>61</v>
      </c>
    </row>
    <row r="350" spans="2:9" ht="13.5" thickTop="1">
      <c r="B350" s="19" t="s">
        <v>224</v>
      </c>
      <c r="C350" s="20">
        <v>4</v>
      </c>
      <c r="D350" s="167" t="s">
        <v>127</v>
      </c>
      <c r="E350" s="20">
        <v>385</v>
      </c>
      <c r="F350" s="21">
        <f>ROUND(C350*E350,2)</f>
        <v>1540</v>
      </c>
    </row>
    <row r="351" spans="2:9">
      <c r="B351" s="23" t="s">
        <v>225</v>
      </c>
      <c r="C351" s="24">
        <v>0.5</v>
      </c>
      <c r="D351" s="1248" t="s">
        <v>226</v>
      </c>
      <c r="E351" s="24">
        <f>F375</f>
        <v>2850</v>
      </c>
      <c r="F351" s="344">
        <f>ROUND(C351*E351,2)</f>
        <v>1425</v>
      </c>
    </row>
    <row r="352" spans="2:9">
      <c r="B352" s="23" t="s">
        <v>227</v>
      </c>
      <c r="C352" s="24">
        <v>0.5</v>
      </c>
      <c r="D352" s="1248" t="s">
        <v>226</v>
      </c>
      <c r="E352" s="24">
        <f>F368</f>
        <v>8493.1200000000008</v>
      </c>
      <c r="F352" s="344">
        <f>ROUND(C352*E352,2)</f>
        <v>4246.5600000000004</v>
      </c>
    </row>
    <row r="353" spans="2:9">
      <c r="B353" s="23" t="s">
        <v>228</v>
      </c>
      <c r="C353" s="24">
        <v>1.19</v>
      </c>
      <c r="D353" s="1248" t="s">
        <v>65</v>
      </c>
      <c r="E353" s="24">
        <v>94.7</v>
      </c>
      <c r="F353" s="344">
        <f>ROUND(C353*E353,2)</f>
        <v>112.69</v>
      </c>
    </row>
    <row r="354" spans="2:9">
      <c r="B354" s="23" t="s">
        <v>229</v>
      </c>
      <c r="C354" s="24">
        <v>1.19</v>
      </c>
      <c r="D354" s="1248" t="s">
        <v>65</v>
      </c>
      <c r="E354" s="24">
        <v>107.35</v>
      </c>
      <c r="F354" s="344">
        <f>ROUND(C354*E354,2)</f>
        <v>127.75</v>
      </c>
      <c r="I354" s="168">
        <f>2.1*3.28</f>
        <v>6.89</v>
      </c>
    </row>
    <row r="355" spans="2:9" ht="13.5" thickBot="1">
      <c r="B355" s="29"/>
      <c r="C355" s="36"/>
      <c r="D355" s="101"/>
      <c r="E355" s="146" t="s">
        <v>230</v>
      </c>
      <c r="F355" s="27">
        <f>SUM(F350:F354)</f>
        <v>7452</v>
      </c>
      <c r="I355" s="168">
        <f>0.9*3.28</f>
        <v>2.95</v>
      </c>
    </row>
    <row r="356" spans="2:9" ht="14.25" thickTop="1" thickBot="1">
      <c r="B356" s="169"/>
      <c r="C356" s="170"/>
      <c r="D356" s="171"/>
      <c r="E356" s="172" t="s">
        <v>231</v>
      </c>
      <c r="F356" s="173">
        <f>ROUND(F355/C349,2)</f>
        <v>3942.86</v>
      </c>
      <c r="I356" s="168">
        <f>I354*I355</f>
        <v>20.329999999999998</v>
      </c>
    </row>
    <row r="357" spans="2:9" ht="14.25" thickTop="1" thickBot="1">
      <c r="B357" s="169"/>
      <c r="C357" s="170"/>
      <c r="D357" s="171"/>
      <c r="E357" s="174" t="s">
        <v>232</v>
      </c>
      <c r="F357" s="175">
        <f>ROUND(F355/E349,2)</f>
        <v>366.73</v>
      </c>
      <c r="I357" s="168"/>
    </row>
    <row r="358" spans="2:9" ht="13.5" thickTop="1">
      <c r="B358" s="4"/>
      <c r="C358" s="16"/>
      <c r="D358" s="4"/>
      <c r="E358" s="16"/>
      <c r="F358" s="16"/>
      <c r="I358" s="168">
        <f>7075.44/20.33</f>
        <v>348.03</v>
      </c>
    </row>
    <row r="359" spans="2:9" ht="15.75">
      <c r="B359" s="1262" t="s">
        <v>233</v>
      </c>
      <c r="C359" s="1262"/>
      <c r="D359" s="1262"/>
      <c r="E359" s="1262"/>
      <c r="F359" s="1262"/>
      <c r="I359" s="168"/>
    </row>
    <row r="360" spans="2:9">
      <c r="B360" s="4"/>
      <c r="C360" s="16"/>
      <c r="D360" s="4"/>
      <c r="E360" s="16"/>
      <c r="F360" s="16"/>
      <c r="I360" s="168"/>
    </row>
    <row r="361" spans="2:9" ht="13.5" thickBot="1">
      <c r="B361" s="44" t="s">
        <v>234</v>
      </c>
      <c r="C361" s="164"/>
      <c r="D361" s="165"/>
      <c r="E361" s="166"/>
      <c r="F361" s="16"/>
      <c r="I361" s="168"/>
    </row>
    <row r="362" spans="2:9" ht="13.5" thickTop="1">
      <c r="B362" s="19" t="s">
        <v>235</v>
      </c>
      <c r="C362" s="20">
        <v>1</v>
      </c>
      <c r="D362" s="167" t="s">
        <v>127</v>
      </c>
      <c r="E362" s="20">
        <v>2700</v>
      </c>
      <c r="F362" s="21">
        <f>ROUND(C362*E362,2)</f>
        <v>2700</v>
      </c>
      <c r="I362" s="168"/>
    </row>
    <row r="363" spans="2:9">
      <c r="B363" s="23" t="s">
        <v>236</v>
      </c>
      <c r="C363" s="24">
        <v>1</v>
      </c>
      <c r="D363" s="1248" t="s">
        <v>226</v>
      </c>
      <c r="E363" s="24">
        <v>1800</v>
      </c>
      <c r="F363" s="344">
        <f>ROUND(C363*E363,2)</f>
        <v>1800</v>
      </c>
      <c r="I363" s="168"/>
    </row>
    <row r="364" spans="2:9">
      <c r="B364" s="23" t="s">
        <v>237</v>
      </c>
      <c r="C364" s="24">
        <v>1</v>
      </c>
      <c r="D364" s="1248" t="s">
        <v>226</v>
      </c>
      <c r="E364" s="24">
        <v>1800</v>
      </c>
      <c r="F364" s="344">
        <f>ROUND(C364*E364,2)</f>
        <v>1800</v>
      </c>
      <c r="I364" s="168"/>
    </row>
    <row r="365" spans="2:9">
      <c r="B365" s="23" t="s">
        <v>238</v>
      </c>
      <c r="C365" s="24">
        <v>3</v>
      </c>
      <c r="D365" s="1248" t="s">
        <v>18</v>
      </c>
      <c r="E365" s="24">
        <v>216</v>
      </c>
      <c r="F365" s="344">
        <f>ROUND(C365*E365,2)</f>
        <v>648</v>
      </c>
      <c r="I365" s="168"/>
    </row>
    <row r="366" spans="2:9">
      <c r="B366" s="23" t="s">
        <v>239</v>
      </c>
      <c r="C366" s="24">
        <v>20</v>
      </c>
      <c r="D366" s="1248" t="s">
        <v>207</v>
      </c>
      <c r="E366" s="24">
        <f>F365</f>
        <v>648</v>
      </c>
      <c r="F366" s="344">
        <f>ROUND(C366*E366,2)/100</f>
        <v>129.6</v>
      </c>
      <c r="I366" s="168"/>
    </row>
    <row r="367" spans="2:9" ht="13.5" thickBot="1">
      <c r="B367" s="29" t="s">
        <v>240</v>
      </c>
      <c r="C367" s="36">
        <v>20</v>
      </c>
      <c r="D367" s="176" t="s">
        <v>207</v>
      </c>
      <c r="E367" s="177">
        <f>SUM(F362:F366)</f>
        <v>7077.6</v>
      </c>
      <c r="F367" s="344">
        <f>ROUND(C367*E367,2)/100</f>
        <v>1415.52</v>
      </c>
      <c r="I367" s="168"/>
    </row>
    <row r="368" spans="2:9" ht="13.5" thickTop="1">
      <c r="B368" s="19"/>
      <c r="C368" s="20"/>
      <c r="D368" s="178"/>
      <c r="E368" s="179" t="s">
        <v>241</v>
      </c>
      <c r="F368" s="84">
        <f>SUM(F362:F367)</f>
        <v>8493.1200000000008</v>
      </c>
      <c r="I368" s="168"/>
    </row>
    <row r="369" spans="2:10" ht="13.5" thickBot="1">
      <c r="B369" s="29"/>
      <c r="C369" s="36"/>
      <c r="D369" s="101"/>
      <c r="E369" s="180" t="s">
        <v>242</v>
      </c>
      <c r="F369" s="63">
        <f>F368/8</f>
        <v>1061.6400000000001</v>
      </c>
      <c r="I369" s="168"/>
    </row>
    <row r="370" spans="2:10" ht="13.5" thickTop="1">
      <c r="B370" s="4"/>
      <c r="C370" s="16"/>
      <c r="D370" s="4"/>
      <c r="E370" s="16"/>
      <c r="F370" s="16"/>
      <c r="I370" s="168"/>
    </row>
    <row r="371" spans="2:10" ht="13.5" thickBot="1">
      <c r="B371" s="44" t="s">
        <v>243</v>
      </c>
      <c r="C371" s="16"/>
      <c r="D371" s="4"/>
      <c r="E371" s="16"/>
      <c r="F371" s="16"/>
      <c r="I371" s="168"/>
    </row>
    <row r="372" spans="2:10" ht="13.5" thickTop="1">
      <c r="B372" s="23" t="s">
        <v>244</v>
      </c>
      <c r="C372" s="24">
        <v>1</v>
      </c>
      <c r="D372" s="1248" t="s">
        <v>53</v>
      </c>
      <c r="E372" s="24">
        <v>1100</v>
      </c>
      <c r="F372" s="21">
        <f>ROUND(C372*E372,2)</f>
        <v>1100</v>
      </c>
      <c r="I372" s="168"/>
    </row>
    <row r="373" spans="2:10">
      <c r="B373" s="23" t="s">
        <v>245</v>
      </c>
      <c r="C373" s="24">
        <v>1</v>
      </c>
      <c r="D373" s="1248" t="s">
        <v>246</v>
      </c>
      <c r="E373" s="24">
        <v>700</v>
      </c>
      <c r="F373" s="344">
        <f>ROUND(C373*E373,2)</f>
        <v>700</v>
      </c>
      <c r="I373" s="168"/>
    </row>
    <row r="374" spans="2:10" ht="13.5" thickBot="1">
      <c r="B374" s="23" t="s">
        <v>247</v>
      </c>
      <c r="C374" s="24">
        <v>1</v>
      </c>
      <c r="D374" s="1248" t="s">
        <v>246</v>
      </c>
      <c r="E374" s="24">
        <v>1050</v>
      </c>
      <c r="F374" s="344">
        <f>ROUND(C374*E374,2)</f>
        <v>1050</v>
      </c>
      <c r="I374" s="147">
        <v>11.25</v>
      </c>
    </row>
    <row r="375" spans="2:10" ht="13.5" thickTop="1">
      <c r="B375" s="19"/>
      <c r="C375" s="20"/>
      <c r="D375" s="178"/>
      <c r="E375" s="179" t="s">
        <v>241</v>
      </c>
      <c r="F375" s="84">
        <f>SUM(F372:F374)</f>
        <v>2850</v>
      </c>
      <c r="I375" s="147">
        <v>92.53</v>
      </c>
    </row>
    <row r="376" spans="2:10" ht="13.5" thickBot="1">
      <c r="B376" s="29"/>
      <c r="C376" s="36"/>
      <c r="D376" s="101"/>
      <c r="E376" s="180" t="s">
        <v>242</v>
      </c>
      <c r="F376" s="63">
        <f>ROUND(F375/8,2)</f>
        <v>356.25</v>
      </c>
      <c r="I376" s="16">
        <f>I374*I375</f>
        <v>1040.96</v>
      </c>
    </row>
    <row r="377" spans="2:10" ht="13.5" thickTop="1">
      <c r="B377" s="4"/>
      <c r="C377" s="16"/>
      <c r="D377" s="4"/>
      <c r="E377" s="16"/>
      <c r="F377" s="16"/>
      <c r="I377" s="168"/>
    </row>
    <row r="378" spans="2:10" ht="15.75">
      <c r="B378" s="1262" t="s">
        <v>248</v>
      </c>
      <c r="C378" s="1262"/>
      <c r="D378" s="1262"/>
      <c r="E378" s="1262"/>
      <c r="F378" s="1262"/>
    </row>
    <row r="379" spans="2:10">
      <c r="D379" s="2"/>
    </row>
    <row r="380" spans="2:10" ht="13.5" thickBot="1">
      <c r="B380" s="1282" t="s">
        <v>249</v>
      </c>
      <c r="C380" s="1282"/>
      <c r="D380" s="1282"/>
      <c r="E380" s="1282"/>
      <c r="F380" s="1282"/>
    </row>
    <row r="381" spans="2:10" ht="13.5" thickTop="1">
      <c r="B381" s="181" t="s">
        <v>250</v>
      </c>
      <c r="C381" s="182"/>
      <c r="D381" s="183"/>
      <c r="E381" s="182"/>
      <c r="F381" s="184"/>
    </row>
    <row r="382" spans="2:10">
      <c r="B382" s="185" t="s">
        <v>251</v>
      </c>
      <c r="C382" s="186">
        <v>1</v>
      </c>
      <c r="D382" s="187" t="s">
        <v>252</v>
      </c>
      <c r="E382" s="188">
        <v>187.5</v>
      </c>
      <c r="F382" s="344">
        <f>ROUND(C382*E382,2)</f>
        <v>187.5</v>
      </c>
      <c r="I382" s="3">
        <v>10</v>
      </c>
      <c r="J382" s="147">
        <v>1500</v>
      </c>
    </row>
    <row r="383" spans="2:10">
      <c r="B383" s="185" t="s">
        <v>253</v>
      </c>
      <c r="C383" s="186">
        <v>1</v>
      </c>
      <c r="D383" s="187" t="s">
        <v>252</v>
      </c>
      <c r="E383" s="188">
        <v>812.5</v>
      </c>
      <c r="F383" s="344">
        <f>ROUND(C383*E383,2)</f>
        <v>812.5</v>
      </c>
      <c r="I383" s="3">
        <v>650</v>
      </c>
      <c r="J383" s="147">
        <f>J382/8</f>
        <v>187.5</v>
      </c>
    </row>
    <row r="384" spans="2:10">
      <c r="B384" s="185" t="s">
        <v>254</v>
      </c>
      <c r="C384" s="186">
        <v>3</v>
      </c>
      <c r="D384" s="187" t="s">
        <v>207</v>
      </c>
      <c r="E384" s="188">
        <f>SUM(F382:F383)</f>
        <v>1000</v>
      </c>
      <c r="F384" s="344">
        <f>ROUND(C384*E384,2)/100</f>
        <v>30</v>
      </c>
      <c r="I384" s="168">
        <f>I383*I382</f>
        <v>6500</v>
      </c>
    </row>
    <row r="385" spans="2:11">
      <c r="B385" s="185" t="s">
        <v>255</v>
      </c>
      <c r="C385" s="189">
        <v>4.5750000000000002</v>
      </c>
      <c r="D385" s="187" t="s">
        <v>256</v>
      </c>
      <c r="E385" s="188"/>
      <c r="F385" s="190">
        <f>SUM(F382:F384)</f>
        <v>1030</v>
      </c>
      <c r="I385" s="3">
        <f>I384/8</f>
        <v>812.5</v>
      </c>
      <c r="J385" s="168"/>
    </row>
    <row r="386" spans="2:11" ht="13.5" thickBot="1">
      <c r="B386" s="191"/>
      <c r="C386" s="192"/>
      <c r="D386" s="193"/>
      <c r="E386" s="146" t="s">
        <v>192</v>
      </c>
      <c r="F386" s="194">
        <f>ROUND(F385/C385,2)</f>
        <v>225.14</v>
      </c>
    </row>
    <row r="387" spans="2:11" ht="13.5" thickTop="1">
      <c r="D387" s="2"/>
    </row>
    <row r="388" spans="2:11" ht="13.5" thickBot="1">
      <c r="B388" s="1282" t="s">
        <v>257</v>
      </c>
      <c r="C388" s="1282"/>
      <c r="D388" s="1282"/>
      <c r="E388" s="1282"/>
      <c r="F388" s="1282"/>
    </row>
    <row r="389" spans="2:11" ht="13.5" thickTop="1">
      <c r="B389" s="181" t="s">
        <v>250</v>
      </c>
      <c r="C389" s="182"/>
      <c r="D389" s="183"/>
      <c r="E389" s="182"/>
      <c r="F389" s="184"/>
    </row>
    <row r="390" spans="2:11">
      <c r="B390" s="185" t="s">
        <v>251</v>
      </c>
      <c r="C390" s="186">
        <v>1</v>
      </c>
      <c r="D390" s="187" t="s">
        <v>252</v>
      </c>
      <c r="E390" s="188">
        <v>187.5</v>
      </c>
      <c r="F390" s="344">
        <f>ROUND(C390*E390,2)</f>
        <v>187.5</v>
      </c>
    </row>
    <row r="391" spans="2:11">
      <c r="B391" s="185" t="s">
        <v>258</v>
      </c>
      <c r="C391" s="186">
        <v>1</v>
      </c>
      <c r="D391" s="187" t="s">
        <v>252</v>
      </c>
      <c r="E391" s="188">
        <v>812.5</v>
      </c>
      <c r="F391" s="344">
        <f>ROUND(C391*E391,2)</f>
        <v>812.5</v>
      </c>
    </row>
    <row r="392" spans="2:11">
      <c r="B392" s="185" t="s">
        <v>254</v>
      </c>
      <c r="C392" s="186">
        <v>3</v>
      </c>
      <c r="D392" s="187" t="s">
        <v>207</v>
      </c>
      <c r="E392" s="188">
        <f>SUM(F390:F391)</f>
        <v>1000</v>
      </c>
      <c r="F392" s="344">
        <f>ROUND(C392*E392,2)/100</f>
        <v>30</v>
      </c>
    </row>
    <row r="393" spans="2:11">
      <c r="B393" s="185" t="s">
        <v>255</v>
      </c>
      <c r="C393" s="189">
        <v>4.5750000000000002</v>
      </c>
      <c r="D393" s="187" t="s">
        <v>256</v>
      </c>
      <c r="E393" s="188"/>
      <c r="F393" s="190">
        <f>SUM(F390:F392)</f>
        <v>1030</v>
      </c>
    </row>
    <row r="394" spans="2:11" ht="13.5" thickBot="1">
      <c r="B394" s="191"/>
      <c r="C394" s="192"/>
      <c r="D394" s="193"/>
      <c r="E394" s="146" t="s">
        <v>192</v>
      </c>
      <c r="F394" s="194">
        <f>ROUND(F393/C393,2)</f>
        <v>225.14</v>
      </c>
    </row>
    <row r="395" spans="2:11" ht="13.5" thickTop="1">
      <c r="D395" s="2"/>
    </row>
    <row r="396" spans="2:11" ht="13.5" thickBot="1">
      <c r="B396" s="1282" t="s">
        <v>259</v>
      </c>
      <c r="C396" s="1282"/>
      <c r="D396" s="1282"/>
      <c r="E396" s="1282"/>
      <c r="F396" s="1282"/>
    </row>
    <row r="397" spans="2:11" ht="13.5" thickTop="1">
      <c r="B397" s="19" t="s">
        <v>260</v>
      </c>
      <c r="C397" s="20">
        <v>1</v>
      </c>
      <c r="D397" s="167" t="s">
        <v>252</v>
      </c>
      <c r="E397" s="20">
        <v>1229.5999999999999</v>
      </c>
      <c r="F397" s="21">
        <f>ROUND(C397*E397,2)</f>
        <v>1229.5999999999999</v>
      </c>
    </row>
    <row r="398" spans="2:11">
      <c r="B398" s="23" t="s">
        <v>261</v>
      </c>
      <c r="C398" s="24">
        <v>3.2</v>
      </c>
      <c r="D398" s="1248" t="s">
        <v>262</v>
      </c>
      <c r="E398" s="24">
        <v>203.6</v>
      </c>
      <c r="F398" s="344">
        <f>ROUND(C398*E398,2)</f>
        <v>651.52</v>
      </c>
      <c r="J398" s="197">
        <v>128</v>
      </c>
      <c r="K398" s="4">
        <v>38.93</v>
      </c>
    </row>
    <row r="399" spans="2:11">
      <c r="B399" s="23" t="s">
        <v>263</v>
      </c>
      <c r="C399" s="24">
        <v>20</v>
      </c>
      <c r="D399" s="1248" t="s">
        <v>207</v>
      </c>
      <c r="E399" s="24">
        <f>F398</f>
        <v>651.52</v>
      </c>
      <c r="F399" s="344">
        <f>ROUND(C399*E399,2)/100</f>
        <v>130.30000000000001</v>
      </c>
      <c r="J399" s="197">
        <v>80</v>
      </c>
      <c r="K399" s="165" t="s">
        <v>264</v>
      </c>
    </row>
    <row r="400" spans="2:11">
      <c r="B400" s="23" t="s">
        <v>265</v>
      </c>
      <c r="C400" s="24">
        <v>1</v>
      </c>
      <c r="D400" s="1248" t="s">
        <v>252</v>
      </c>
      <c r="E400" s="24">
        <v>162.5</v>
      </c>
      <c r="F400" s="344">
        <f>ROUND(C400*E400,2)</f>
        <v>162.5</v>
      </c>
      <c r="K400" s="16">
        <f>(J399*K398)/J398</f>
        <v>24.33</v>
      </c>
    </row>
    <row r="401" spans="2:10">
      <c r="B401" s="23"/>
      <c r="C401" s="24"/>
      <c r="D401" s="1248"/>
      <c r="E401" s="259" t="s">
        <v>266</v>
      </c>
      <c r="F401" s="260">
        <f>SUM(F397:F400)</f>
        <v>2173.92</v>
      </c>
    </row>
    <row r="402" spans="2:10" ht="13.5" thickBot="1">
      <c r="B402" s="29" t="s">
        <v>267</v>
      </c>
      <c r="C402" s="36">
        <v>24.33</v>
      </c>
      <c r="D402" s="176" t="s">
        <v>268</v>
      </c>
      <c r="E402" s="146" t="s">
        <v>192</v>
      </c>
      <c r="F402" s="63">
        <f>ROUND(F401/C402,2)</f>
        <v>89.35</v>
      </c>
    </row>
    <row r="403" spans="2:10" ht="13.5" thickTop="1">
      <c r="D403" s="2"/>
    </row>
    <row r="404" spans="2:10" ht="13.5" thickBot="1">
      <c r="B404" s="1283" t="s">
        <v>269</v>
      </c>
      <c r="C404" s="1284"/>
      <c r="D404" s="1284"/>
      <c r="E404" s="1284"/>
      <c r="F404" s="1284"/>
    </row>
    <row r="405" spans="2:10" ht="13.5" thickTop="1">
      <c r="B405" s="345" t="s">
        <v>261</v>
      </c>
      <c r="C405" s="346">
        <v>5.12</v>
      </c>
      <c r="D405" s="347" t="s">
        <v>270</v>
      </c>
      <c r="E405" s="348">
        <v>203.6</v>
      </c>
      <c r="F405" s="21">
        <f>ROUND(C405*E405,2)</f>
        <v>1042.43</v>
      </c>
    </row>
    <row r="406" spans="2:10">
      <c r="B406" s="349" t="s">
        <v>271</v>
      </c>
      <c r="C406" s="245">
        <v>20</v>
      </c>
      <c r="D406" s="350" t="s">
        <v>207</v>
      </c>
      <c r="E406" s="351">
        <f>F405</f>
        <v>1042.43</v>
      </c>
      <c r="F406" s="344">
        <f>ROUND(C406*E406,2)/100</f>
        <v>208.49</v>
      </c>
      <c r="J406" s="3">
        <v>1300</v>
      </c>
    </row>
    <row r="407" spans="2:10">
      <c r="B407" s="349" t="s">
        <v>272</v>
      </c>
      <c r="C407" s="245">
        <v>1</v>
      </c>
      <c r="D407" s="350" t="s">
        <v>252</v>
      </c>
      <c r="E407" s="351">
        <v>162.5</v>
      </c>
      <c r="F407" s="344">
        <f>ROUND(C407*E407,2)</f>
        <v>162.5</v>
      </c>
      <c r="J407" s="3">
        <v>8</v>
      </c>
    </row>
    <row r="408" spans="2:10">
      <c r="B408" s="349" t="s">
        <v>273</v>
      </c>
      <c r="C408" s="245">
        <v>1</v>
      </c>
      <c r="D408" s="350" t="s">
        <v>127</v>
      </c>
      <c r="E408" s="351">
        <v>85</v>
      </c>
      <c r="F408" s="344">
        <f>ROUND(C408*E408,2)</f>
        <v>85</v>
      </c>
      <c r="J408" s="3">
        <f>J406/J407</f>
        <v>162.5</v>
      </c>
    </row>
    <row r="409" spans="2:10" ht="13.5" thickBot="1">
      <c r="B409" s="352" t="s">
        <v>274</v>
      </c>
      <c r="C409" s="353">
        <v>1</v>
      </c>
      <c r="D409" s="354" t="s">
        <v>252</v>
      </c>
      <c r="E409" s="355">
        <v>3539.37</v>
      </c>
      <c r="F409" s="356">
        <f>ROUND(C409*E409,2)</f>
        <v>3539.37</v>
      </c>
    </row>
    <row r="410" spans="2:10" ht="13.5" thickTop="1">
      <c r="B410" s="275"/>
      <c r="C410" s="276"/>
      <c r="D410" s="277"/>
      <c r="E410" s="278" t="s">
        <v>266</v>
      </c>
      <c r="F410" s="274">
        <f>SUM(F405:F409)</f>
        <v>5037.79</v>
      </c>
    </row>
    <row r="411" spans="2:10" ht="13.5" thickBot="1">
      <c r="B411" s="29" t="s">
        <v>267</v>
      </c>
      <c r="C411" s="36">
        <v>38.93</v>
      </c>
      <c r="D411" s="176" t="s">
        <v>268</v>
      </c>
      <c r="E411" s="146" t="s">
        <v>192</v>
      </c>
      <c r="F411" s="63">
        <f>ROUND(F410/C411,2)</f>
        <v>129.41</v>
      </c>
    </row>
    <row r="412" spans="2:10" ht="12.75" customHeight="1" thickTop="1">
      <c r="B412" s="69" t="s">
        <v>275</v>
      </c>
      <c r="C412" s="20">
        <v>64</v>
      </c>
      <c r="D412" s="167" t="s">
        <v>268</v>
      </c>
      <c r="E412" s="20"/>
      <c r="F412" s="71">
        <f>ROUND(F410/C412,2)</f>
        <v>78.72</v>
      </c>
    </row>
    <row r="413" spans="2:10" ht="12.75" customHeight="1" thickBot="1">
      <c r="B413" s="60" t="s">
        <v>276</v>
      </c>
      <c r="C413" s="36">
        <v>25.13</v>
      </c>
      <c r="D413" s="334" t="s">
        <v>268</v>
      </c>
      <c r="E413" s="36"/>
      <c r="F413" s="63">
        <f>ROUND(F410/C413,2)</f>
        <v>200.47</v>
      </c>
    </row>
    <row r="414" spans="2:10" ht="12.75" customHeight="1" thickTop="1">
      <c r="D414" s="2"/>
    </row>
    <row r="415" spans="2:10" ht="13.5" thickBot="1">
      <c r="B415" s="1283" t="s">
        <v>277</v>
      </c>
      <c r="C415" s="1284"/>
      <c r="D415" s="1284"/>
      <c r="E415" s="1284"/>
      <c r="F415" s="1284"/>
    </row>
    <row r="416" spans="2:10" ht="13.5" thickTop="1">
      <c r="B416" s="261" t="s">
        <v>261</v>
      </c>
      <c r="C416" s="262">
        <v>12</v>
      </c>
      <c r="D416" s="263" t="s">
        <v>270</v>
      </c>
      <c r="E416" s="264">
        <v>203.6</v>
      </c>
      <c r="F416" s="21">
        <f>ROUND(C416*E416,2)</f>
        <v>2443.1999999999998</v>
      </c>
    </row>
    <row r="417" spans="1:9">
      <c r="B417" s="265" t="s">
        <v>271</v>
      </c>
      <c r="C417" s="266">
        <v>20</v>
      </c>
      <c r="D417" s="267" t="s">
        <v>207</v>
      </c>
      <c r="E417" s="268">
        <f>F416</f>
        <v>2443.1999999999998</v>
      </c>
      <c r="F417" s="344">
        <f>ROUND(C417*E417,2)/100</f>
        <v>488.64</v>
      </c>
    </row>
    <row r="418" spans="1:9">
      <c r="B418" s="269" t="s">
        <v>272</v>
      </c>
      <c r="C418" s="266">
        <v>1</v>
      </c>
      <c r="D418" s="267" t="s">
        <v>252</v>
      </c>
      <c r="E418" s="268">
        <v>162.5</v>
      </c>
      <c r="F418" s="344">
        <f>ROUND(C418*E418,2)</f>
        <v>162.5</v>
      </c>
    </row>
    <row r="419" spans="1:9" ht="13.5" thickBot="1">
      <c r="B419" s="270" t="s">
        <v>274</v>
      </c>
      <c r="C419" s="271">
        <v>1</v>
      </c>
      <c r="D419" s="272" t="s">
        <v>252</v>
      </c>
      <c r="E419" s="273">
        <v>3888.82</v>
      </c>
      <c r="F419" s="344">
        <f>ROUND(C419*E419,2)</f>
        <v>3888.82</v>
      </c>
    </row>
    <row r="420" spans="1:9" ht="13.5" thickTop="1">
      <c r="B420" s="275"/>
      <c r="C420" s="276"/>
      <c r="D420" s="277"/>
      <c r="E420" s="278" t="s">
        <v>266</v>
      </c>
      <c r="F420" s="274">
        <f>SUM(F416:F419)</f>
        <v>6983.16</v>
      </c>
    </row>
    <row r="421" spans="1:9" ht="13.5" thickBot="1">
      <c r="B421" s="29" t="s">
        <v>267</v>
      </c>
      <c r="C421" s="36">
        <v>129.19999999999999</v>
      </c>
      <c r="D421" s="176" t="s">
        <v>268</v>
      </c>
      <c r="E421" s="146" t="s">
        <v>192</v>
      </c>
      <c r="F421" s="63">
        <f>ROUND(F420/C421,2)</f>
        <v>54.05</v>
      </c>
    </row>
    <row r="422" spans="1:9" ht="10.5" customHeight="1" thickTop="1">
      <c r="D422" s="2"/>
    </row>
    <row r="423" spans="1:9" ht="13.5" thickBot="1">
      <c r="B423" s="44" t="s">
        <v>278</v>
      </c>
      <c r="C423" s="195" t="s">
        <v>279</v>
      </c>
      <c r="D423" s="4">
        <v>6</v>
      </c>
      <c r="E423" s="16" t="s">
        <v>280</v>
      </c>
      <c r="F423" s="196">
        <v>2</v>
      </c>
      <c r="I423" s="197"/>
    </row>
    <row r="424" spans="1:9" ht="13.5" thickTop="1">
      <c r="B424" s="19" t="s">
        <v>281</v>
      </c>
      <c r="C424" s="20">
        <v>1</v>
      </c>
      <c r="D424" s="167" t="s">
        <v>23</v>
      </c>
      <c r="E424" s="20">
        <v>900</v>
      </c>
      <c r="F424" s="21">
        <f>ROUND(C424*E424,2)</f>
        <v>900</v>
      </c>
      <c r="I424" s="198"/>
    </row>
    <row r="425" spans="1:9">
      <c r="A425" s="2" t="s">
        <v>55</v>
      </c>
      <c r="B425" s="23" t="s">
        <v>282</v>
      </c>
      <c r="C425" s="24">
        <v>1</v>
      </c>
      <c r="D425" s="1248" t="s">
        <v>23</v>
      </c>
      <c r="E425" s="24">
        <v>108.33</v>
      </c>
      <c r="F425" s="344">
        <f>ROUND(C425*E425,2)</f>
        <v>108.33</v>
      </c>
      <c r="I425" s="168">
        <f>(650*2)/12</f>
        <v>108.33</v>
      </c>
    </row>
    <row r="426" spans="1:9">
      <c r="B426" s="185" t="s">
        <v>254</v>
      </c>
      <c r="C426" s="24">
        <v>3</v>
      </c>
      <c r="D426" s="1248" t="s">
        <v>207</v>
      </c>
      <c r="E426" s="24">
        <f>F425</f>
        <v>108.33</v>
      </c>
      <c r="F426" s="344">
        <f>ROUND(C426*E426,2)/100</f>
        <v>3.25</v>
      </c>
    </row>
    <row r="427" spans="1:9" ht="13.5" thickBot="1">
      <c r="B427" s="29"/>
      <c r="C427" s="36"/>
      <c r="D427" s="176"/>
      <c r="E427" s="146" t="s">
        <v>192</v>
      </c>
      <c r="F427" s="27">
        <f>SUM(F424:F426)</f>
        <v>1011.58</v>
      </c>
    </row>
    <row r="428" spans="1:9" ht="13.5" thickTop="1">
      <c r="D428" s="2"/>
    </row>
    <row r="429" spans="1:9" ht="13.5" thickBot="1">
      <c r="B429" s="44" t="s">
        <v>283</v>
      </c>
      <c r="C429" s="199">
        <v>144</v>
      </c>
      <c r="D429" s="200" t="s">
        <v>65</v>
      </c>
    </row>
    <row r="430" spans="1:9" ht="13.5" thickTop="1">
      <c r="B430" s="19" t="s">
        <v>284</v>
      </c>
      <c r="C430" s="20">
        <v>1</v>
      </c>
      <c r="D430" s="167" t="s">
        <v>226</v>
      </c>
      <c r="E430" s="20">
        <v>1500</v>
      </c>
      <c r="F430" s="343">
        <f>ROUND(C430*E430,2)</f>
        <v>1500</v>
      </c>
      <c r="G430" s="4"/>
    </row>
    <row r="431" spans="1:9">
      <c r="B431" s="23" t="s">
        <v>285</v>
      </c>
      <c r="C431" s="24">
        <v>1</v>
      </c>
      <c r="D431" s="1248" t="s">
        <v>226</v>
      </c>
      <c r="E431" s="24">
        <v>3250</v>
      </c>
      <c r="F431" s="344">
        <f>ROUND(C431*E431,2)</f>
        <v>3250</v>
      </c>
      <c r="G431" s="4"/>
      <c r="I431" s="3">
        <v>5</v>
      </c>
    </row>
    <row r="432" spans="1:9">
      <c r="B432" s="23" t="s">
        <v>286</v>
      </c>
      <c r="C432" s="24">
        <v>3</v>
      </c>
      <c r="D432" s="1248" t="s">
        <v>207</v>
      </c>
      <c r="E432" s="24">
        <f>SUM(F430:F431)</f>
        <v>4750</v>
      </c>
      <c r="F432" s="344">
        <f>ROUND(C432*E432,2)/100</f>
        <v>142.5</v>
      </c>
      <c r="G432" s="4"/>
      <c r="I432" s="3">
        <v>650</v>
      </c>
    </row>
    <row r="433" spans="2:9" ht="13.5" thickBot="1">
      <c r="B433" s="29"/>
      <c r="C433" s="36"/>
      <c r="D433" s="101"/>
      <c r="E433" s="146" t="s">
        <v>287</v>
      </c>
      <c r="F433" s="27">
        <f>SUM(F430:F432)</f>
        <v>4892.5</v>
      </c>
      <c r="G433" s="4"/>
      <c r="I433" s="3">
        <f>I432*I431</f>
        <v>3250</v>
      </c>
    </row>
    <row r="434" spans="2:9" ht="13.5" thickTop="1">
      <c r="B434" s="19"/>
      <c r="C434" s="20"/>
      <c r="D434" s="178"/>
      <c r="E434" s="201" t="s">
        <v>288</v>
      </c>
      <c r="F434" s="58">
        <f>ROUND(F433/C430,2)</f>
        <v>4892.5</v>
      </c>
      <c r="G434" s="4"/>
    </row>
    <row r="435" spans="2:9" ht="13.5" thickBot="1">
      <c r="B435" s="29"/>
      <c r="C435" s="36"/>
      <c r="D435" s="101"/>
      <c r="E435" s="146" t="s">
        <v>289</v>
      </c>
      <c r="F435" s="27">
        <f>ROUND(F433/C429,2)</f>
        <v>33.979999999999997</v>
      </c>
      <c r="G435" s="4"/>
    </row>
    <row r="436" spans="2:9" ht="9" customHeight="1" thickTop="1">
      <c r="B436" s="4"/>
      <c r="C436" s="16"/>
      <c r="D436" s="4"/>
      <c r="E436" s="16"/>
      <c r="F436" s="16"/>
      <c r="G436" s="4"/>
    </row>
    <row r="437" spans="2:9" ht="15">
      <c r="B437" s="1285" t="s">
        <v>290</v>
      </c>
      <c r="C437" s="1285"/>
      <c r="D437" s="1285"/>
      <c r="E437" s="1285"/>
      <c r="F437" s="1285"/>
      <c r="G437" s="4"/>
    </row>
    <row r="438" spans="2:9" ht="6" customHeight="1">
      <c r="B438" s="4"/>
      <c r="C438" s="16"/>
      <c r="D438" s="4"/>
      <c r="E438" s="16"/>
      <c r="F438" s="16"/>
      <c r="G438" s="4"/>
    </row>
    <row r="439" spans="2:9" ht="13.5" thickBot="1">
      <c r="B439" s="1286" t="s">
        <v>291</v>
      </c>
      <c r="C439" s="1286"/>
      <c r="D439" s="1286"/>
      <c r="E439" s="1286"/>
      <c r="F439" s="1286"/>
      <c r="G439" s="4"/>
    </row>
    <row r="440" spans="2:9" ht="13.5" thickTop="1">
      <c r="B440" s="210" t="s">
        <v>292</v>
      </c>
      <c r="C440" s="211"/>
      <c r="D440" s="212"/>
      <c r="E440" s="213"/>
      <c r="F440" s="214"/>
    </row>
    <row r="441" spans="2:9">
      <c r="B441" s="215" t="s">
        <v>293</v>
      </c>
      <c r="C441" s="216">
        <v>1</v>
      </c>
      <c r="D441" s="217" t="s">
        <v>103</v>
      </c>
      <c r="E441" s="218">
        <v>200</v>
      </c>
      <c r="F441" s="344">
        <f>ROUND(C441*E441,2)</f>
        <v>200</v>
      </c>
    </row>
    <row r="442" spans="2:9">
      <c r="B442" s="215"/>
      <c r="C442" s="216"/>
      <c r="D442" s="217"/>
      <c r="E442" s="218"/>
      <c r="F442" s="219"/>
    </row>
    <row r="443" spans="2:9">
      <c r="B443" s="220" t="s">
        <v>294</v>
      </c>
      <c r="C443" s="216"/>
      <c r="D443" s="217"/>
      <c r="E443" s="218"/>
      <c r="F443" s="219"/>
    </row>
    <row r="444" spans="2:9">
      <c r="B444" s="221" t="s">
        <v>166</v>
      </c>
      <c r="C444" s="216">
        <v>7.54</v>
      </c>
      <c r="D444" s="217" t="s">
        <v>23</v>
      </c>
      <c r="E444" s="218">
        <v>85</v>
      </c>
      <c r="F444" s="344">
        <f>ROUND(C444*E444,2)</f>
        <v>640.9</v>
      </c>
    </row>
    <row r="445" spans="2:9">
      <c r="B445" s="222" t="s">
        <v>295</v>
      </c>
      <c r="C445" s="223">
        <v>4.4800000000000004</v>
      </c>
      <c r="D445" s="217" t="s">
        <v>23</v>
      </c>
      <c r="E445" s="218">
        <v>52.6</v>
      </c>
      <c r="F445" s="344">
        <f>ROUND(C445*E445,2)</f>
        <v>235.65</v>
      </c>
    </row>
    <row r="446" spans="2:9">
      <c r="B446" s="222" t="s">
        <v>296</v>
      </c>
      <c r="C446" s="216">
        <v>3.67</v>
      </c>
      <c r="D446" s="217" t="s">
        <v>23</v>
      </c>
      <c r="E446" s="218">
        <v>55</v>
      </c>
      <c r="F446" s="344">
        <f>ROUND(C446*E446,2)</f>
        <v>201.85</v>
      </c>
    </row>
    <row r="447" spans="2:9">
      <c r="B447" s="222"/>
      <c r="C447" s="216"/>
      <c r="D447" s="217"/>
      <c r="E447" s="218"/>
      <c r="F447" s="219"/>
    </row>
    <row r="448" spans="2:9">
      <c r="B448" s="220" t="s">
        <v>297</v>
      </c>
      <c r="C448" s="216"/>
      <c r="D448" s="217"/>
      <c r="E448" s="218"/>
      <c r="F448" s="219"/>
    </row>
    <row r="449" spans="2:6">
      <c r="B449" s="222" t="s">
        <v>298</v>
      </c>
      <c r="C449" s="223">
        <v>0.25</v>
      </c>
      <c r="D449" s="217" t="s">
        <v>23</v>
      </c>
      <c r="E449" s="233">
        <f>F467</f>
        <v>11946.38</v>
      </c>
      <c r="F449" s="344">
        <f>ROUND(C449*E449,2)</f>
        <v>2986.6</v>
      </c>
    </row>
    <row r="450" spans="2:6">
      <c r="B450" s="222" t="s">
        <v>299</v>
      </c>
      <c r="C450" s="232">
        <v>0.2</v>
      </c>
      <c r="D450" s="217" t="s">
        <v>23</v>
      </c>
      <c r="E450" s="233">
        <f>F473</f>
        <v>10432.34</v>
      </c>
      <c r="F450" s="344">
        <f>ROUND(C450*E450,2)</f>
        <v>2086.4699999999998</v>
      </c>
    </row>
    <row r="451" spans="2:6">
      <c r="B451" s="222"/>
      <c r="C451" s="223"/>
      <c r="D451" s="217"/>
      <c r="E451" s="224"/>
      <c r="F451" s="219"/>
    </row>
    <row r="452" spans="2:6">
      <c r="B452" s="220" t="s">
        <v>300</v>
      </c>
      <c r="C452" s="223"/>
      <c r="D452" s="217"/>
      <c r="E452" s="224"/>
      <c r="F452" s="219"/>
    </row>
    <row r="453" spans="2:6">
      <c r="B453" s="222" t="s">
        <v>301</v>
      </c>
      <c r="C453" s="216">
        <v>6.44</v>
      </c>
      <c r="D453" s="217" t="s">
        <v>65</v>
      </c>
      <c r="E453" s="218">
        <f>F202</f>
        <v>737.79</v>
      </c>
      <c r="F453" s="344">
        <f>ROUND(C453*E453,2)</f>
        <v>4751.37</v>
      </c>
    </row>
    <row r="454" spans="2:6">
      <c r="B454" s="222"/>
      <c r="C454" s="216"/>
      <c r="D454" s="217"/>
      <c r="E454" s="218"/>
      <c r="F454" s="219"/>
    </row>
    <row r="455" spans="2:6">
      <c r="B455" s="220" t="s">
        <v>302</v>
      </c>
      <c r="C455" s="216"/>
      <c r="D455" s="217"/>
      <c r="E455" s="218"/>
      <c r="F455" s="219"/>
    </row>
    <row r="456" spans="2:6">
      <c r="B456" s="222" t="s">
        <v>303</v>
      </c>
      <c r="C456" s="216">
        <v>1.04</v>
      </c>
      <c r="D456" s="217" t="s">
        <v>65</v>
      </c>
      <c r="E456" s="225">
        <f>F99</f>
        <v>246.8</v>
      </c>
      <c r="F456" s="344">
        <f>ROUND(C456*E456,2)</f>
        <v>256.67</v>
      </c>
    </row>
    <row r="457" spans="2:6">
      <c r="B457" s="222" t="s">
        <v>304</v>
      </c>
      <c r="C457" s="216">
        <v>8.91</v>
      </c>
      <c r="D457" s="217" t="s">
        <v>108</v>
      </c>
      <c r="E457" s="225">
        <f>F137</f>
        <v>60.57</v>
      </c>
      <c r="F457" s="344">
        <f>ROUND(C457*E457,2)</f>
        <v>539.67999999999995</v>
      </c>
    </row>
    <row r="458" spans="2:6">
      <c r="B458" s="222" t="s">
        <v>77</v>
      </c>
      <c r="C458" s="216">
        <v>1.04</v>
      </c>
      <c r="D458" s="217" t="s">
        <v>65</v>
      </c>
      <c r="E458" s="225">
        <f>F122</f>
        <v>443.52</v>
      </c>
      <c r="F458" s="344">
        <f>ROUND(C458*E458,2)</f>
        <v>461.26</v>
      </c>
    </row>
    <row r="459" spans="2:6">
      <c r="B459" s="222"/>
      <c r="C459" s="216"/>
      <c r="D459" s="217"/>
      <c r="E459" s="218"/>
      <c r="F459" s="219"/>
    </row>
    <row r="460" spans="2:6">
      <c r="B460" s="222" t="s">
        <v>305</v>
      </c>
      <c r="C460" s="216">
        <v>1</v>
      </c>
      <c r="D460" s="217" t="s">
        <v>127</v>
      </c>
      <c r="E460" s="225">
        <f>F482</f>
        <v>802.84</v>
      </c>
      <c r="F460" s="344">
        <f>ROUND(C460*E460,2)</f>
        <v>802.84</v>
      </c>
    </row>
    <row r="461" spans="2:6">
      <c r="B461" s="220"/>
      <c r="C461" s="226"/>
      <c r="D461" s="217"/>
      <c r="E461" s="218"/>
      <c r="F461" s="227"/>
    </row>
    <row r="462" spans="2:6" ht="13.5" thickBot="1">
      <c r="B462" s="228"/>
      <c r="C462" s="229"/>
      <c r="D462" s="229"/>
      <c r="E462" s="230" t="s">
        <v>306</v>
      </c>
      <c r="F462" s="231">
        <f>SUM(F441:F461)</f>
        <v>13163.29</v>
      </c>
    </row>
    <row r="463" spans="2:6" ht="13.5" thickTop="1">
      <c r="D463" s="2"/>
    </row>
    <row r="464" spans="2:6" ht="13.5" thickBot="1">
      <c r="B464" s="148" t="s">
        <v>307</v>
      </c>
      <c r="C464" s="203"/>
      <c r="D464" s="118"/>
      <c r="E464" s="118"/>
      <c r="F464" s="119"/>
    </row>
    <row r="465" spans="2:6" ht="13.5" thickTop="1">
      <c r="B465" s="120" t="s">
        <v>194</v>
      </c>
      <c r="C465" s="121">
        <v>1.05</v>
      </c>
      <c r="D465" s="122" t="s">
        <v>23</v>
      </c>
      <c r="E465" s="123">
        <f>F50</f>
        <v>4962.82</v>
      </c>
      <c r="F465" s="21">
        <f>ROUND(C465*E465,2)</f>
        <v>5210.96</v>
      </c>
    </row>
    <row r="466" spans="2:6">
      <c r="B466" s="124" t="s">
        <v>164</v>
      </c>
      <c r="C466" s="125">
        <v>2.59</v>
      </c>
      <c r="D466" s="126" t="s">
        <v>27</v>
      </c>
      <c r="E466" s="127">
        <f>F166</f>
        <v>2600.5500000000002</v>
      </c>
      <c r="F466" s="344">
        <f>ROUND(C466*E466,2)</f>
        <v>6735.42</v>
      </c>
    </row>
    <row r="467" spans="2:6" ht="13.5" thickBot="1">
      <c r="B467" s="132"/>
      <c r="C467" s="133"/>
      <c r="D467" s="133"/>
      <c r="E467" s="146" t="s">
        <v>192</v>
      </c>
      <c r="F467" s="135">
        <f>SUM(F465:F466)</f>
        <v>11946.38</v>
      </c>
    </row>
    <row r="468" spans="2:6" ht="13.5" thickTop="1">
      <c r="B468" s="204"/>
      <c r="C468" s="204"/>
      <c r="D468" s="204"/>
      <c r="E468" s="205"/>
      <c r="F468" s="206"/>
    </row>
    <row r="469" spans="2:6" ht="13.5" thickBot="1">
      <c r="B469" s="148" t="s">
        <v>308</v>
      </c>
      <c r="C469" s="207">
        <v>0.12</v>
      </c>
      <c r="D469" s="118"/>
      <c r="E469" s="118"/>
      <c r="F469" s="119"/>
    </row>
    <row r="470" spans="2:6" ht="13.5" thickTop="1">
      <c r="B470" s="120" t="s">
        <v>219</v>
      </c>
      <c r="C470" s="121">
        <v>1.05</v>
      </c>
      <c r="D470" s="122" t="s">
        <v>23</v>
      </c>
      <c r="E470" s="123">
        <f>F60</f>
        <v>4455.62</v>
      </c>
      <c r="F470" s="21">
        <f>ROUND(C470*E470,2)</f>
        <v>4678.3999999999996</v>
      </c>
    </row>
    <row r="471" spans="2:6">
      <c r="B471" s="124" t="s">
        <v>164</v>
      </c>
      <c r="C471" s="125">
        <v>1.62</v>
      </c>
      <c r="D471" s="126" t="s">
        <v>27</v>
      </c>
      <c r="E471" s="127">
        <f>F166</f>
        <v>2600.5500000000002</v>
      </c>
      <c r="F471" s="344">
        <f>ROUND(C471*E471,2)</f>
        <v>4212.8900000000003</v>
      </c>
    </row>
    <row r="472" spans="2:6">
      <c r="B472" s="128" t="s">
        <v>195</v>
      </c>
      <c r="C472" s="129">
        <f>ROUND(1/C469,2)</f>
        <v>8.33</v>
      </c>
      <c r="D472" s="130" t="s">
        <v>89</v>
      </c>
      <c r="E472" s="131">
        <v>185</v>
      </c>
      <c r="F472" s="344">
        <f>ROUND(C472*E472,2)</f>
        <v>1541.05</v>
      </c>
    </row>
    <row r="473" spans="2:6" ht="13.5" thickBot="1">
      <c r="B473" s="132"/>
      <c r="C473" s="133"/>
      <c r="D473" s="133"/>
      <c r="E473" s="146" t="s">
        <v>192</v>
      </c>
      <c r="F473" s="135">
        <f>SUM(F470:F472)</f>
        <v>10432.34</v>
      </c>
    </row>
    <row r="474" spans="2:6" ht="13.5" thickTop="1">
      <c r="D474" s="2"/>
    </row>
    <row r="475" spans="2:6" ht="13.5" thickBot="1">
      <c r="B475" s="115" t="s">
        <v>309</v>
      </c>
      <c r="C475" s="234">
        <f>(0.8*0.8*0.1)</f>
        <v>0.06</v>
      </c>
      <c r="D475" s="209" t="s">
        <v>23</v>
      </c>
      <c r="E475" s="235"/>
      <c r="F475" s="236"/>
    </row>
    <row r="476" spans="2:6" ht="13.5" thickTop="1">
      <c r="B476" s="237" t="s">
        <v>310</v>
      </c>
      <c r="C476" s="238">
        <v>1.05</v>
      </c>
      <c r="D476" s="239" t="s">
        <v>23</v>
      </c>
      <c r="E476" s="240">
        <f>F60</f>
        <v>4455.62</v>
      </c>
      <c r="F476" s="21">
        <f t="shared" ref="F476:F481" si="4">ROUND(C476*E476,2)</f>
        <v>4678.3999999999996</v>
      </c>
    </row>
    <row r="477" spans="2:6">
      <c r="B477" s="241" t="s">
        <v>164</v>
      </c>
      <c r="C477" s="242">
        <v>1.68</v>
      </c>
      <c r="D477" s="243" t="s">
        <v>27</v>
      </c>
      <c r="E477" s="244">
        <f>F166</f>
        <v>2600.5500000000002</v>
      </c>
      <c r="F477" s="344">
        <f t="shared" si="4"/>
        <v>4368.92</v>
      </c>
    </row>
    <row r="478" spans="2:6">
      <c r="B478" s="241" t="s">
        <v>201</v>
      </c>
      <c r="C478" s="245">
        <v>10</v>
      </c>
      <c r="D478" s="243" t="s">
        <v>65</v>
      </c>
      <c r="E478" s="244">
        <v>100</v>
      </c>
      <c r="F478" s="344">
        <f t="shared" si="4"/>
        <v>1000</v>
      </c>
    </row>
    <row r="479" spans="2:6">
      <c r="B479" s="241"/>
      <c r="C479" s="242"/>
      <c r="D479" s="246"/>
      <c r="E479" s="247" t="s">
        <v>311</v>
      </c>
      <c r="F479" s="248">
        <f>SUM(F476:F478)</f>
        <v>10047.32</v>
      </c>
    </row>
    <row r="480" spans="2:6">
      <c r="B480" s="241" t="s">
        <v>312</v>
      </c>
      <c r="C480" s="242">
        <v>0.06</v>
      </c>
      <c r="D480" s="243" t="s">
        <v>23</v>
      </c>
      <c r="E480" s="249">
        <f>F479</f>
        <v>10047.32</v>
      </c>
      <c r="F480" s="344">
        <f t="shared" si="4"/>
        <v>602.84</v>
      </c>
    </row>
    <row r="481" spans="2:9">
      <c r="B481" s="241" t="s">
        <v>313</v>
      </c>
      <c r="C481" s="245">
        <v>1</v>
      </c>
      <c r="D481" s="243" t="s">
        <v>127</v>
      </c>
      <c r="E481" s="245">
        <v>200</v>
      </c>
      <c r="F481" s="344">
        <f t="shared" si="4"/>
        <v>200</v>
      </c>
    </row>
    <row r="482" spans="2:9" ht="13.5" thickBot="1">
      <c r="B482" s="250"/>
      <c r="C482" s="251"/>
      <c r="D482" s="252"/>
      <c r="E482" s="230" t="s">
        <v>314</v>
      </c>
      <c r="F482" s="253">
        <f>SUM(F480:F481)</f>
        <v>802.84</v>
      </c>
    </row>
    <row r="483" spans="2:9" ht="13.5" thickTop="1">
      <c r="D483" s="2"/>
    </row>
    <row r="484" spans="2:9" ht="13.5" thickBot="1">
      <c r="B484" s="254" t="s">
        <v>315</v>
      </c>
      <c r="C484" s="255">
        <v>1.85</v>
      </c>
      <c r="D484" s="256" t="s">
        <v>89</v>
      </c>
      <c r="E484" s="89"/>
      <c r="F484" s="89"/>
    </row>
    <row r="485" spans="2:9" ht="13.5" thickTop="1">
      <c r="B485" s="324" t="s">
        <v>316</v>
      </c>
      <c r="C485" s="325">
        <v>6.1</v>
      </c>
      <c r="D485" s="326" t="s">
        <v>89</v>
      </c>
      <c r="E485" s="325">
        <v>111.2</v>
      </c>
      <c r="F485" s="21">
        <f>ROUND(C485*E485,2)</f>
        <v>678.32</v>
      </c>
    </row>
    <row r="486" spans="2:9">
      <c r="B486" s="327" t="s">
        <v>317</v>
      </c>
      <c r="C486" s="257">
        <v>0.3</v>
      </c>
      <c r="D486" s="258" t="s">
        <v>53</v>
      </c>
      <c r="E486" s="257">
        <f>F375</f>
        <v>2850</v>
      </c>
      <c r="F486" s="344">
        <f>ROUND(C486*E486,2)</f>
        <v>855</v>
      </c>
      <c r="I486" s="168"/>
    </row>
    <row r="487" spans="2:9">
      <c r="B487" s="327" t="s">
        <v>318</v>
      </c>
      <c r="C487" s="257">
        <v>0.3</v>
      </c>
      <c r="D487" s="258" t="s">
        <v>53</v>
      </c>
      <c r="E487" s="257">
        <f>F368</f>
        <v>8493.1200000000008</v>
      </c>
      <c r="F487" s="344">
        <f>ROUND(C487*E487,2)</f>
        <v>2547.94</v>
      </c>
    </row>
    <row r="488" spans="2:9">
      <c r="B488" s="327" t="s">
        <v>319</v>
      </c>
      <c r="C488" s="257">
        <v>0.37</v>
      </c>
      <c r="D488" s="258" t="s">
        <v>65</v>
      </c>
      <c r="E488" s="257">
        <v>104.52</v>
      </c>
      <c r="F488" s="344">
        <f>ROUND(C488*E488,2)</f>
        <v>38.67</v>
      </c>
    </row>
    <row r="489" spans="2:9">
      <c r="B489" s="327" t="s">
        <v>320</v>
      </c>
      <c r="C489" s="257">
        <v>0.37</v>
      </c>
      <c r="D489" s="258" t="s">
        <v>65</v>
      </c>
      <c r="E489" s="257">
        <v>124.07</v>
      </c>
      <c r="F489" s="344">
        <f>ROUND(C489*E489,2)</f>
        <v>45.91</v>
      </c>
    </row>
    <row r="490" spans="2:9">
      <c r="B490" s="327"/>
      <c r="C490" s="257"/>
      <c r="D490" s="1287" t="s">
        <v>321</v>
      </c>
      <c r="E490" s="1287"/>
      <c r="F490" s="328">
        <f>SUM(F485:F489)</f>
        <v>4165.84</v>
      </c>
    </row>
    <row r="491" spans="2:9" ht="13.5" thickBot="1">
      <c r="B491" s="329"/>
      <c r="C491" s="330"/>
      <c r="D491" s="1288" t="s">
        <v>322</v>
      </c>
      <c r="E491" s="1288"/>
      <c r="F491" s="331">
        <f>ROUND(F490/C484,2)</f>
        <v>2251.81</v>
      </c>
    </row>
    <row r="492" spans="2:9" ht="13.5" thickTop="1">
      <c r="D492" s="2"/>
    </row>
    <row r="493" spans="2:9" ht="13.5" thickBot="1">
      <c r="B493" s="115" t="s">
        <v>323</v>
      </c>
      <c r="C493" s="115"/>
      <c r="D493" s="115"/>
      <c r="E493" s="115"/>
      <c r="F493" s="115"/>
    </row>
    <row r="494" spans="2:9" ht="13.5" thickTop="1">
      <c r="B494" s="279" t="s">
        <v>324</v>
      </c>
      <c r="C494" s="291">
        <v>4</v>
      </c>
      <c r="D494" s="280" t="s">
        <v>127</v>
      </c>
      <c r="E494" s="281">
        <v>562.6</v>
      </c>
      <c r="F494" s="21">
        <f t="shared" ref="F494:F511" si="5">ROUND(C494*E494,2)</f>
        <v>2250.4</v>
      </c>
    </row>
    <row r="495" spans="2:9">
      <c r="B495" s="282" t="s">
        <v>325</v>
      </c>
      <c r="C495" s="292">
        <v>4</v>
      </c>
      <c r="D495" s="283" t="s">
        <v>127</v>
      </c>
      <c r="E495" s="284">
        <v>50.16</v>
      </c>
      <c r="F495" s="344">
        <f t="shared" si="5"/>
        <v>200.64</v>
      </c>
    </row>
    <row r="496" spans="2:9">
      <c r="B496" s="282" t="s">
        <v>326</v>
      </c>
      <c r="C496" s="292">
        <v>5.4</v>
      </c>
      <c r="D496" s="283" t="s">
        <v>65</v>
      </c>
      <c r="E496" s="284">
        <v>243.9</v>
      </c>
      <c r="F496" s="344">
        <f t="shared" si="5"/>
        <v>1317.06</v>
      </c>
    </row>
    <row r="497" spans="2:6">
      <c r="B497" s="282" t="s">
        <v>327</v>
      </c>
      <c r="C497" s="292">
        <v>2</v>
      </c>
      <c r="D497" s="283" t="s">
        <v>127</v>
      </c>
      <c r="E497" s="284">
        <v>272.58999999999997</v>
      </c>
      <c r="F497" s="344">
        <f t="shared" si="5"/>
        <v>545.17999999999995</v>
      </c>
    </row>
    <row r="498" spans="2:6">
      <c r="B498" s="282" t="s">
        <v>183</v>
      </c>
      <c r="C498" s="292">
        <v>18</v>
      </c>
      <c r="D498" s="283" t="s">
        <v>127</v>
      </c>
      <c r="E498" s="284">
        <v>22.93</v>
      </c>
      <c r="F498" s="344">
        <f t="shared" si="5"/>
        <v>412.74</v>
      </c>
    </row>
    <row r="499" spans="2:6">
      <c r="B499" s="282" t="s">
        <v>328</v>
      </c>
      <c r="C499" s="292">
        <v>2</v>
      </c>
      <c r="D499" s="283" t="s">
        <v>329</v>
      </c>
      <c r="E499" s="284">
        <v>32</v>
      </c>
      <c r="F499" s="344">
        <f t="shared" si="5"/>
        <v>64</v>
      </c>
    </row>
    <row r="500" spans="2:6">
      <c r="B500" s="286" t="s">
        <v>330</v>
      </c>
      <c r="C500" s="292">
        <v>1</v>
      </c>
      <c r="D500" s="283" t="s">
        <v>53</v>
      </c>
      <c r="E500" s="284">
        <v>2500</v>
      </c>
      <c r="F500" s="344">
        <f t="shared" si="5"/>
        <v>2500</v>
      </c>
    </row>
    <row r="501" spans="2:6">
      <c r="B501" s="287" t="s">
        <v>331</v>
      </c>
      <c r="C501" s="292"/>
      <c r="D501" s="283"/>
      <c r="E501" s="284"/>
      <c r="F501" s="285"/>
    </row>
    <row r="502" spans="2:6">
      <c r="B502" s="282" t="s">
        <v>332</v>
      </c>
      <c r="C502" s="292">
        <v>1</v>
      </c>
      <c r="D502" s="283" t="s">
        <v>53</v>
      </c>
      <c r="E502" s="284">
        <v>1100</v>
      </c>
      <c r="F502" s="344">
        <f t="shared" si="5"/>
        <v>1100</v>
      </c>
    </row>
    <row r="503" spans="2:6">
      <c r="B503" s="286" t="s">
        <v>333</v>
      </c>
      <c r="C503" s="292">
        <v>1</v>
      </c>
      <c r="D503" s="283" t="s">
        <v>53</v>
      </c>
      <c r="E503" s="284">
        <v>750</v>
      </c>
      <c r="F503" s="344">
        <f t="shared" si="5"/>
        <v>750</v>
      </c>
    </row>
    <row r="504" spans="2:6">
      <c r="B504" s="282" t="s">
        <v>334</v>
      </c>
      <c r="C504" s="292">
        <v>1</v>
      </c>
      <c r="D504" s="283" t="s">
        <v>53</v>
      </c>
      <c r="E504" s="284">
        <v>500</v>
      </c>
      <c r="F504" s="344">
        <f t="shared" si="5"/>
        <v>500</v>
      </c>
    </row>
    <row r="505" spans="2:6">
      <c r="B505" s="282" t="s">
        <v>335</v>
      </c>
      <c r="C505" s="292">
        <v>1</v>
      </c>
      <c r="D505" s="283" t="s">
        <v>127</v>
      </c>
      <c r="E505" s="284">
        <v>475</v>
      </c>
      <c r="F505" s="344">
        <f t="shared" si="5"/>
        <v>475</v>
      </c>
    </row>
    <row r="506" spans="2:6">
      <c r="B506" s="282" t="s">
        <v>336</v>
      </c>
      <c r="C506" s="292">
        <v>1</v>
      </c>
      <c r="D506" s="283" t="s">
        <v>127</v>
      </c>
      <c r="E506" s="284">
        <v>145</v>
      </c>
      <c r="F506" s="344">
        <f t="shared" si="5"/>
        <v>145</v>
      </c>
    </row>
    <row r="507" spans="2:6">
      <c r="B507" s="282" t="s">
        <v>337</v>
      </c>
      <c r="C507" s="292">
        <v>6</v>
      </c>
      <c r="D507" s="283" t="s">
        <v>127</v>
      </c>
      <c r="E507" s="284">
        <v>87.65</v>
      </c>
      <c r="F507" s="344">
        <f t="shared" si="5"/>
        <v>525.9</v>
      </c>
    </row>
    <row r="508" spans="2:6">
      <c r="B508" s="282" t="s">
        <v>338</v>
      </c>
      <c r="C508" s="292">
        <v>9</v>
      </c>
      <c r="D508" s="283" t="s">
        <v>108</v>
      </c>
      <c r="E508" s="284">
        <v>6.5</v>
      </c>
      <c r="F508" s="344">
        <f t="shared" si="5"/>
        <v>58.5</v>
      </c>
    </row>
    <row r="509" spans="2:6">
      <c r="B509" s="282" t="s">
        <v>339</v>
      </c>
      <c r="C509" s="292">
        <v>9.66</v>
      </c>
      <c r="D509" s="283" t="s">
        <v>65</v>
      </c>
      <c r="E509" s="284">
        <v>124.07</v>
      </c>
      <c r="F509" s="344">
        <f t="shared" si="5"/>
        <v>1198.52</v>
      </c>
    </row>
    <row r="510" spans="2:6">
      <c r="B510" s="282" t="s">
        <v>340</v>
      </c>
      <c r="C510" s="292">
        <v>1</v>
      </c>
      <c r="D510" s="283" t="s">
        <v>103</v>
      </c>
      <c r="E510" s="284">
        <v>1000</v>
      </c>
      <c r="F510" s="344">
        <f t="shared" si="5"/>
        <v>1000</v>
      </c>
    </row>
    <row r="511" spans="2:6">
      <c r="B511" s="282" t="s">
        <v>33</v>
      </c>
      <c r="C511" s="292">
        <v>1</v>
      </c>
      <c r="D511" s="283" t="s">
        <v>103</v>
      </c>
      <c r="E511" s="284">
        <v>400</v>
      </c>
      <c r="F511" s="344">
        <f t="shared" si="5"/>
        <v>400</v>
      </c>
    </row>
    <row r="512" spans="2:6" ht="13.5" thickBot="1">
      <c r="B512" s="288" t="s">
        <v>341</v>
      </c>
      <c r="C512" s="289"/>
      <c r="D512" s="1281" t="s">
        <v>342</v>
      </c>
      <c r="E512" s="1281"/>
      <c r="F512" s="290">
        <f>ROUND(SUM(F494:F511),2)</f>
        <v>13442.94</v>
      </c>
    </row>
    <row r="513" spans="2:10" ht="13.5" thickTop="1">
      <c r="D513" s="2"/>
    </row>
    <row r="514" spans="2:10" ht="15">
      <c r="B514" s="1285" t="s">
        <v>343</v>
      </c>
      <c r="C514" s="1285"/>
      <c r="D514" s="1285"/>
      <c r="E514" s="1285"/>
      <c r="F514" s="1285"/>
    </row>
    <row r="515" spans="2:10" ht="13.5" thickBot="1">
      <c r="B515" s="4"/>
      <c r="C515" s="16"/>
      <c r="D515" s="4"/>
      <c r="E515" s="16"/>
      <c r="F515" s="16"/>
    </row>
    <row r="516" spans="2:10" ht="13.5" thickTop="1">
      <c r="B516" s="19" t="s">
        <v>344</v>
      </c>
      <c r="C516" s="20">
        <v>1</v>
      </c>
      <c r="D516" s="335" t="s">
        <v>127</v>
      </c>
      <c r="E516" s="20">
        <v>75000</v>
      </c>
      <c r="F516" s="21">
        <f>ROUND(C516*E516,2)</f>
        <v>75000</v>
      </c>
    </row>
    <row r="517" spans="2:10">
      <c r="B517" s="23" t="s">
        <v>345</v>
      </c>
      <c r="C517" s="24">
        <v>1</v>
      </c>
      <c r="D517" s="1248" t="s">
        <v>127</v>
      </c>
      <c r="E517" s="24">
        <v>28898</v>
      </c>
      <c r="F517" s="344">
        <f>ROUND(C517*E517,2)</f>
        <v>28898</v>
      </c>
      <c r="I517" s="16"/>
    </row>
    <row r="518" spans="2:10">
      <c r="B518" s="23" t="s">
        <v>346</v>
      </c>
      <c r="C518" s="24">
        <v>1</v>
      </c>
      <c r="D518" s="1248" t="s">
        <v>103</v>
      </c>
      <c r="E518" s="24">
        <v>12500</v>
      </c>
      <c r="F518" s="344">
        <f>ROUND(C518*E518,2)</f>
        <v>12500</v>
      </c>
      <c r="I518" s="16"/>
    </row>
    <row r="519" spans="2:10" ht="13.5" thickBot="1">
      <c r="B519" s="29"/>
      <c r="C519" s="36"/>
      <c r="D519" s="101"/>
      <c r="E519" s="36"/>
      <c r="F519" s="27">
        <f>SUM(F516:F518)</f>
        <v>116398</v>
      </c>
      <c r="I519" s="16"/>
    </row>
    <row r="520" spans="2:10" ht="14.25" thickTop="1" thickBot="1">
      <c r="B520" s="4"/>
      <c r="C520" s="16"/>
      <c r="D520" s="4"/>
      <c r="E520" s="16"/>
      <c r="F520" s="16"/>
      <c r="I520" s="147"/>
    </row>
    <row r="521" spans="2:10" ht="13.5" thickTop="1">
      <c r="B521" s="19" t="s">
        <v>347</v>
      </c>
      <c r="C521" s="20">
        <v>1</v>
      </c>
      <c r="D521" s="167" t="s">
        <v>127</v>
      </c>
      <c r="E521" s="20">
        <v>20000</v>
      </c>
      <c r="F521" s="21">
        <f>ROUND(C521*E521,2)</f>
        <v>20000</v>
      </c>
      <c r="I521" s="16"/>
    </row>
    <row r="522" spans="2:10">
      <c r="B522" s="23"/>
      <c r="C522" s="24"/>
      <c r="D522" s="100"/>
      <c r="E522" s="24"/>
      <c r="F522" s="22"/>
      <c r="I522" s="16"/>
    </row>
    <row r="523" spans="2:10" ht="13.5" thickBot="1">
      <c r="B523" s="29" t="s">
        <v>348</v>
      </c>
      <c r="C523" s="36">
        <v>1</v>
      </c>
      <c r="D523" s="176" t="s">
        <v>103</v>
      </c>
      <c r="E523" s="36">
        <v>7000</v>
      </c>
      <c r="F523" s="356">
        <f>ROUND(C523*E523,2)</f>
        <v>7000</v>
      </c>
      <c r="I523" s="16"/>
    </row>
    <row r="524" spans="2:10" ht="13.5" thickTop="1">
      <c r="B524" s="4"/>
      <c r="C524" s="16"/>
      <c r="D524" s="4"/>
      <c r="E524" s="16"/>
      <c r="F524" s="16"/>
      <c r="I524" s="16"/>
      <c r="J524" s="147"/>
    </row>
    <row r="525" spans="2:10" ht="13.5" thickBot="1">
      <c r="B525" s="372" t="s">
        <v>349</v>
      </c>
      <c r="C525" s="378"/>
      <c r="D525" s="379"/>
      <c r="E525" s="378"/>
      <c r="F525" s="378"/>
      <c r="I525" s="16"/>
    </row>
    <row r="526" spans="2:10" ht="13.5" thickTop="1">
      <c r="B526" s="481" t="s">
        <v>350</v>
      </c>
      <c r="C526" s="438">
        <v>1.5</v>
      </c>
      <c r="D526" s="482" t="s">
        <v>89</v>
      </c>
      <c r="E526" s="438">
        <v>3245</v>
      </c>
      <c r="F526" s="476">
        <f>ROUND(C526*E526,2)</f>
        <v>4867.5</v>
      </c>
      <c r="I526" s="16"/>
    </row>
    <row r="527" spans="2:10">
      <c r="B527" s="380" t="s">
        <v>351</v>
      </c>
      <c r="C527" s="381">
        <v>1</v>
      </c>
      <c r="D527" s="382" t="s">
        <v>127</v>
      </c>
      <c r="E527" s="381">
        <v>130.6</v>
      </c>
      <c r="F527" s="383">
        <f>ROUND(C527*E527,2)</f>
        <v>130.6</v>
      </c>
    </row>
    <row r="528" spans="2:10">
      <c r="B528" s="380" t="s">
        <v>352</v>
      </c>
      <c r="C528" s="381">
        <v>1</v>
      </c>
      <c r="D528" s="384" t="s">
        <v>127</v>
      </c>
      <c r="E528" s="381">
        <v>200</v>
      </c>
      <c r="F528" s="383">
        <f>ROUND(C528*E528,2)</f>
        <v>200</v>
      </c>
      <c r="I528" s="197">
        <f>30*2.5</f>
        <v>75</v>
      </c>
      <c r="J528" s="197"/>
    </row>
    <row r="529" spans="1:10" ht="13.5" thickBot="1">
      <c r="B529" s="385"/>
      <c r="C529" s="386"/>
      <c r="D529" s="387"/>
      <c r="E529" s="388" t="s">
        <v>353</v>
      </c>
      <c r="F529" s="389">
        <f>SUM(F526:F528)</f>
        <v>5198.1000000000004</v>
      </c>
      <c r="I529" s="361">
        <f>I528/100</f>
        <v>0.75</v>
      </c>
      <c r="J529" s="197"/>
    </row>
    <row r="530" spans="1:10" ht="13.5" thickTop="1">
      <c r="B530" s="4"/>
      <c r="C530" s="16"/>
      <c r="D530" s="4"/>
      <c r="E530" s="16"/>
      <c r="F530" s="360"/>
      <c r="I530" s="197">
        <f>(I529^2*PI())/4</f>
        <v>0.4</v>
      </c>
      <c r="J530" s="197"/>
    </row>
    <row r="531" spans="1:10">
      <c r="B531" s="1290" t="s">
        <v>354</v>
      </c>
      <c r="C531" s="1290"/>
      <c r="D531" s="1290"/>
      <c r="E531" s="1290"/>
      <c r="F531" s="1290"/>
      <c r="I531" s="369">
        <f>+I530*0.1</f>
        <v>0.04</v>
      </c>
      <c r="J531" s="359">
        <f>I531*4434.56</f>
        <v>177.38</v>
      </c>
    </row>
    <row r="532" spans="1:10">
      <c r="A532" s="4"/>
      <c r="B532" s="4"/>
      <c r="C532" s="16"/>
      <c r="D532" s="4"/>
      <c r="E532" s="16"/>
      <c r="F532" s="16"/>
      <c r="G532" s="4"/>
    </row>
    <row r="533" spans="1:10" ht="13.5" thickBot="1">
      <c r="A533" s="4"/>
      <c r="B533" s="392" t="s">
        <v>355</v>
      </c>
      <c r="C533" s="374"/>
      <c r="D533" s="375"/>
      <c r="E533" s="374"/>
      <c r="F533" s="374"/>
      <c r="G533" s="4"/>
      <c r="I533" s="16"/>
    </row>
    <row r="534" spans="1:10" ht="13.5" thickTop="1">
      <c r="A534" s="4"/>
      <c r="B534" s="395" t="s">
        <v>219</v>
      </c>
      <c r="C534" s="396">
        <v>1.05</v>
      </c>
      <c r="D534" s="397" t="s">
        <v>23</v>
      </c>
      <c r="E534" s="398">
        <f>F60</f>
        <v>4455.62</v>
      </c>
      <c r="F534" s="440">
        <f>ROUND(C534*E534,2)</f>
        <v>4678.3999999999996</v>
      </c>
      <c r="G534" s="4"/>
      <c r="I534" s="362">
        <f>(0.5^2*PI())/4</f>
        <v>0.2</v>
      </c>
    </row>
    <row r="535" spans="1:10">
      <c r="A535" s="4"/>
      <c r="B535" s="399" t="s">
        <v>164</v>
      </c>
      <c r="C535" s="400">
        <v>0.36</v>
      </c>
      <c r="D535" s="401" t="s">
        <v>27</v>
      </c>
      <c r="E535" s="402">
        <f>F166</f>
        <v>2600.5500000000002</v>
      </c>
      <c r="F535" s="403">
        <f>ROUND(C535*E535,2)</f>
        <v>936.2</v>
      </c>
      <c r="G535" s="4"/>
      <c r="I535" s="362">
        <f>I534*0.15</f>
        <v>0.03</v>
      </c>
      <c r="J535" s="3">
        <f>4434.56*I535</f>
        <v>133</v>
      </c>
    </row>
    <row r="536" spans="1:10">
      <c r="A536" s="4"/>
      <c r="B536" s="404" t="s">
        <v>356</v>
      </c>
      <c r="C536" s="405">
        <v>8.9</v>
      </c>
      <c r="D536" s="406" t="s">
        <v>89</v>
      </c>
      <c r="E536" s="407">
        <v>80.55</v>
      </c>
      <c r="F536" s="403">
        <f>ROUND(C536*E536,2)</f>
        <v>716.9</v>
      </c>
      <c r="G536" s="4"/>
      <c r="I536" s="362"/>
    </row>
    <row r="537" spans="1:10" ht="13.5" thickBot="1">
      <c r="A537" s="4"/>
      <c r="B537" s="408"/>
      <c r="C537" s="409"/>
      <c r="D537" s="409"/>
      <c r="E537" s="410" t="s">
        <v>192</v>
      </c>
      <c r="F537" s="411">
        <f>SUM(F534:F535)</f>
        <v>5614.6</v>
      </c>
      <c r="G537" s="4"/>
    </row>
    <row r="538" spans="1:10" ht="13.5" thickTop="1">
      <c r="A538" s="4"/>
      <c r="B538" s="375"/>
      <c r="C538" s="374"/>
      <c r="D538" s="375"/>
      <c r="E538" s="374"/>
      <c r="F538" s="374"/>
      <c r="G538" s="4"/>
      <c r="I538" s="3">
        <f>1/(0.45*0.25)</f>
        <v>8.9</v>
      </c>
    </row>
    <row r="539" spans="1:10" ht="13.5" thickBot="1">
      <c r="A539" s="4"/>
      <c r="B539" s="412" t="s">
        <v>357</v>
      </c>
      <c r="C539" s="413">
        <f>0.2*0.3</f>
        <v>0.06</v>
      </c>
      <c r="D539" s="447"/>
      <c r="E539" s="447"/>
      <c r="F539" s="448"/>
      <c r="G539" s="4"/>
    </row>
    <row r="540" spans="1:10" ht="13.5" thickTop="1">
      <c r="A540" s="4"/>
      <c r="B540" s="395" t="s">
        <v>194</v>
      </c>
      <c r="C540" s="396">
        <v>1.05</v>
      </c>
      <c r="D540" s="397" t="s">
        <v>23</v>
      </c>
      <c r="E540" s="398">
        <f>F50</f>
        <v>4962.82</v>
      </c>
      <c r="F540" s="440">
        <f>ROUND(C540*E540,2)</f>
        <v>5210.96</v>
      </c>
      <c r="G540" s="4"/>
    </row>
    <row r="541" spans="1:10">
      <c r="A541" s="4"/>
      <c r="B541" s="399" t="s">
        <v>164</v>
      </c>
      <c r="C541" s="400">
        <v>3.56</v>
      </c>
      <c r="D541" s="401" t="s">
        <v>27</v>
      </c>
      <c r="E541" s="402">
        <f>F166</f>
        <v>2600.5500000000002</v>
      </c>
      <c r="F541" s="403">
        <f>ROUND(C541*E541,2)</f>
        <v>9257.9599999999991</v>
      </c>
      <c r="G541" s="4"/>
    </row>
    <row r="542" spans="1:10">
      <c r="A542" s="4"/>
      <c r="B542" s="404" t="s">
        <v>356</v>
      </c>
      <c r="C542" s="405">
        <v>16.670000000000002</v>
      </c>
      <c r="D542" s="406" t="s">
        <v>89</v>
      </c>
      <c r="E542" s="407">
        <v>80.55</v>
      </c>
      <c r="F542" s="403">
        <f>ROUND(C542*E542,2)</f>
        <v>1342.77</v>
      </c>
      <c r="G542" s="4"/>
    </row>
    <row r="543" spans="1:10">
      <c r="A543" s="4"/>
      <c r="B543" s="404" t="s">
        <v>195</v>
      </c>
      <c r="C543" s="405">
        <f>ROUND(1/C539,2)</f>
        <v>16.670000000000002</v>
      </c>
      <c r="D543" s="406" t="s">
        <v>89</v>
      </c>
      <c r="E543" s="407">
        <v>250</v>
      </c>
      <c r="F543" s="403">
        <f>ROUND(C543*E543,2)</f>
        <v>4167.5</v>
      </c>
      <c r="G543" s="4"/>
    </row>
    <row r="544" spans="1:10" ht="13.5" thickBot="1">
      <c r="A544" s="4"/>
      <c r="B544" s="408"/>
      <c r="C544" s="409"/>
      <c r="D544" s="409"/>
      <c r="E544" s="410" t="s">
        <v>192</v>
      </c>
      <c r="F544" s="411">
        <f>SUM(F540:F543)</f>
        <v>19979.189999999999</v>
      </c>
      <c r="G544" s="4"/>
    </row>
    <row r="545" spans="1:7" ht="13.5" thickTop="1">
      <c r="A545" s="4"/>
      <c r="B545" s="375"/>
      <c r="C545" s="374"/>
      <c r="D545" s="375"/>
      <c r="E545" s="374"/>
      <c r="F545" s="374"/>
      <c r="G545" s="4"/>
    </row>
    <row r="546" spans="1:7" ht="13.5" thickBot="1">
      <c r="A546" s="4"/>
      <c r="B546" s="416" t="s">
        <v>358</v>
      </c>
      <c r="C546" s="413">
        <v>0.1</v>
      </c>
      <c r="D546" s="447"/>
      <c r="E546" s="447"/>
      <c r="F546" s="448"/>
      <c r="G546" s="4"/>
    </row>
    <row r="547" spans="1:7" ht="13.5" thickTop="1">
      <c r="A547" s="4"/>
      <c r="B547" s="395" t="s">
        <v>219</v>
      </c>
      <c r="C547" s="396">
        <v>1.05</v>
      </c>
      <c r="D547" s="397" t="s">
        <v>23</v>
      </c>
      <c r="E547" s="398">
        <f>F60</f>
        <v>4455.62</v>
      </c>
      <c r="F547" s="440">
        <f>ROUND(C547*E547,2)</f>
        <v>4678.3999999999996</v>
      </c>
      <c r="G547" s="4"/>
    </row>
    <row r="548" spans="1:7">
      <c r="A548" s="4"/>
      <c r="B548" s="399" t="s">
        <v>164</v>
      </c>
      <c r="C548" s="400">
        <v>1.48</v>
      </c>
      <c r="D548" s="401" t="s">
        <v>27</v>
      </c>
      <c r="E548" s="402">
        <f>F172</f>
        <v>2745.66</v>
      </c>
      <c r="F548" s="403">
        <f>ROUND(C548*E548,2)</f>
        <v>4063.58</v>
      </c>
      <c r="G548" s="4"/>
    </row>
    <row r="549" spans="1:7">
      <c r="A549" s="4"/>
      <c r="B549" s="404" t="s">
        <v>195</v>
      </c>
      <c r="C549" s="405">
        <f>ROUND(1/C546,2)</f>
        <v>10</v>
      </c>
      <c r="D549" s="406" t="s">
        <v>89</v>
      </c>
      <c r="E549" s="407">
        <v>185</v>
      </c>
      <c r="F549" s="403">
        <f>ROUND(C549*E549,2)</f>
        <v>1850</v>
      </c>
      <c r="G549" s="4"/>
    </row>
    <row r="550" spans="1:7" ht="13.5" thickBot="1">
      <c r="A550" s="4"/>
      <c r="B550" s="408"/>
      <c r="C550" s="409"/>
      <c r="D550" s="409"/>
      <c r="E550" s="410" t="s">
        <v>192</v>
      </c>
      <c r="F550" s="411">
        <f>SUM(F547:F549)</f>
        <v>10591.98</v>
      </c>
      <c r="G550" s="4"/>
    </row>
    <row r="551" spans="1:7" ht="13.5" thickTop="1">
      <c r="A551" s="4"/>
      <c r="B551" s="375"/>
      <c r="C551" s="374"/>
      <c r="D551" s="375"/>
      <c r="E551" s="374"/>
      <c r="F551" s="374"/>
      <c r="G551" s="4"/>
    </row>
    <row r="552" spans="1:7" ht="13.5" thickBot="1">
      <c r="A552" s="4"/>
      <c r="B552" s="412" t="s">
        <v>359</v>
      </c>
      <c r="C552" s="413">
        <f>0.2*0.15</f>
        <v>0.03</v>
      </c>
      <c r="D552" s="447"/>
      <c r="E552" s="447"/>
      <c r="F552" s="448"/>
      <c r="G552" s="4"/>
    </row>
    <row r="553" spans="1:7" ht="13.5" thickTop="1">
      <c r="A553" s="4"/>
      <c r="B553" s="395" t="s">
        <v>194</v>
      </c>
      <c r="C553" s="396">
        <v>1.05</v>
      </c>
      <c r="D553" s="397" t="s">
        <v>23</v>
      </c>
      <c r="E553" s="398">
        <f>F50</f>
        <v>4962.82</v>
      </c>
      <c r="F553" s="440">
        <f>ROUND(C553*E553,2)</f>
        <v>5210.96</v>
      </c>
      <c r="G553" s="4"/>
    </row>
    <row r="554" spans="1:7">
      <c r="A554" s="4"/>
      <c r="B554" s="399" t="s">
        <v>164</v>
      </c>
      <c r="C554" s="400">
        <v>3.89</v>
      </c>
      <c r="D554" s="401" t="s">
        <v>27</v>
      </c>
      <c r="E554" s="402">
        <f>F166</f>
        <v>2600.5500000000002</v>
      </c>
      <c r="F554" s="403">
        <f>ROUND(C554*E554,2)</f>
        <v>10116.14</v>
      </c>
      <c r="G554" s="4"/>
    </row>
    <row r="555" spans="1:7">
      <c r="A555" s="4"/>
      <c r="B555" s="404" t="s">
        <v>356</v>
      </c>
      <c r="C555" s="405">
        <f>ROUND(1/C552,2)</f>
        <v>33.33</v>
      </c>
      <c r="D555" s="406" t="s">
        <v>89</v>
      </c>
      <c r="E555" s="407">
        <v>80.55</v>
      </c>
      <c r="F555" s="403">
        <f>ROUND(C555*E555,2)</f>
        <v>2684.73</v>
      </c>
      <c r="G555" s="4"/>
    </row>
    <row r="556" spans="1:7">
      <c r="A556" s="4"/>
      <c r="B556" s="404" t="s">
        <v>195</v>
      </c>
      <c r="C556" s="405">
        <f>ROUND(1/C552,2)</f>
        <v>33.33</v>
      </c>
      <c r="D556" s="406" t="s">
        <v>89</v>
      </c>
      <c r="E556" s="407">
        <v>200</v>
      </c>
      <c r="F556" s="403">
        <f>ROUND(C556*E556,2)</f>
        <v>6666</v>
      </c>
      <c r="G556" s="4"/>
    </row>
    <row r="557" spans="1:7" ht="13.5" thickBot="1">
      <c r="A557" s="4"/>
      <c r="B557" s="449"/>
      <c r="C557" s="450"/>
      <c r="D557" s="450"/>
      <c r="E557" s="451" t="s">
        <v>192</v>
      </c>
      <c r="F557" s="452">
        <f>SUM(F553:F556)</f>
        <v>24677.83</v>
      </c>
      <c r="G557" s="4"/>
    </row>
    <row r="558" spans="1:7" ht="13.5" thickTop="1">
      <c r="A558" s="4"/>
      <c r="B558" s="375"/>
      <c r="C558" s="374"/>
      <c r="D558" s="375"/>
      <c r="E558" s="374"/>
      <c r="F558" s="374"/>
      <c r="G558" s="4"/>
    </row>
    <row r="559" spans="1:7" ht="13.5" thickBot="1">
      <c r="A559" s="4"/>
      <c r="B559" s="392" t="s">
        <v>360</v>
      </c>
      <c r="C559" s="374"/>
      <c r="D559" s="375"/>
      <c r="E559" s="374"/>
      <c r="F559" s="374"/>
      <c r="G559" s="4"/>
    </row>
    <row r="560" spans="1:7" ht="13.5" thickTop="1">
      <c r="A560" s="4"/>
      <c r="B560" s="395" t="s">
        <v>219</v>
      </c>
      <c r="C560" s="396">
        <v>1.05</v>
      </c>
      <c r="D560" s="397" t="s">
        <v>23</v>
      </c>
      <c r="E560" s="398">
        <f>F60</f>
        <v>4455.62</v>
      </c>
      <c r="F560" s="440">
        <f>ROUND(C560*E560,2)</f>
        <v>4678.3999999999996</v>
      </c>
      <c r="G560" s="4"/>
    </row>
    <row r="561" spans="1:11">
      <c r="A561" s="4"/>
      <c r="B561" s="399" t="s">
        <v>164</v>
      </c>
      <c r="C561" s="400">
        <v>0.05</v>
      </c>
      <c r="D561" s="401" t="s">
        <v>27</v>
      </c>
      <c r="E561" s="402">
        <f>F172</f>
        <v>2745.66</v>
      </c>
      <c r="F561" s="403">
        <f>ROUND(C561*E561,2)</f>
        <v>137.28</v>
      </c>
      <c r="G561" s="4"/>
    </row>
    <row r="562" spans="1:11">
      <c r="A562" s="4"/>
      <c r="B562" s="404" t="s">
        <v>195</v>
      </c>
      <c r="C562" s="405">
        <v>1</v>
      </c>
      <c r="D562" s="406" t="s">
        <v>103</v>
      </c>
      <c r="E562" s="407">
        <v>100</v>
      </c>
      <c r="F562" s="403">
        <f>ROUND(C562*E562,2)</f>
        <v>100</v>
      </c>
      <c r="G562" s="4"/>
    </row>
    <row r="563" spans="1:11" ht="13.5" thickBot="1">
      <c r="A563" s="4"/>
      <c r="B563" s="408"/>
      <c r="C563" s="409"/>
      <c r="D563" s="409"/>
      <c r="E563" s="410" t="s">
        <v>192</v>
      </c>
      <c r="F563" s="411">
        <f>SUM(F560:F561)</f>
        <v>4815.68</v>
      </c>
      <c r="G563" s="4"/>
    </row>
    <row r="564" spans="1:11" ht="13.5" thickTop="1">
      <c r="A564" s="4"/>
      <c r="B564" s="375"/>
      <c r="C564" s="374"/>
      <c r="D564" s="375"/>
      <c r="E564" s="374"/>
      <c r="F564" s="374"/>
      <c r="G564" s="4"/>
    </row>
    <row r="565" spans="1:11" ht="13.5" thickBot="1">
      <c r="A565" s="8"/>
      <c r="B565" s="372" t="s">
        <v>361</v>
      </c>
      <c r="C565" s="446"/>
      <c r="D565" s="376"/>
      <c r="E565" s="446"/>
      <c r="F565" s="446"/>
      <c r="G565" s="4"/>
    </row>
    <row r="566" spans="1:11" ht="13.5" thickTop="1">
      <c r="A566" s="8"/>
      <c r="B566" s="417" t="s">
        <v>219</v>
      </c>
      <c r="C566" s="418">
        <v>1.05</v>
      </c>
      <c r="D566" s="419" t="s">
        <v>23</v>
      </c>
      <c r="E566" s="420">
        <f>F60</f>
        <v>4455.62</v>
      </c>
      <c r="F566" s="476">
        <f>ROUND(C566*E566,2)</f>
        <v>4678.3999999999996</v>
      </c>
      <c r="G566" s="4"/>
    </row>
    <row r="567" spans="1:11">
      <c r="A567" s="8"/>
      <c r="B567" s="421" t="s">
        <v>164</v>
      </c>
      <c r="C567" s="422">
        <v>0.89</v>
      </c>
      <c r="D567" s="423" t="s">
        <v>27</v>
      </c>
      <c r="E567" s="424">
        <f>F172</f>
        <v>2745.66</v>
      </c>
      <c r="F567" s="383">
        <f>ROUND(C567*E567,2)</f>
        <v>2443.64</v>
      </c>
      <c r="G567" s="4"/>
    </row>
    <row r="568" spans="1:11">
      <c r="A568" s="8"/>
      <c r="B568" s="425" t="s">
        <v>195</v>
      </c>
      <c r="C568" s="426">
        <v>1</v>
      </c>
      <c r="D568" s="427" t="s">
        <v>103</v>
      </c>
      <c r="E568" s="428">
        <v>100</v>
      </c>
      <c r="F568" s="383">
        <f>ROUND(C568*E568,2)</f>
        <v>100</v>
      </c>
      <c r="G568" s="4"/>
    </row>
    <row r="569" spans="1:11" ht="13.5" thickBot="1">
      <c r="A569" s="8"/>
      <c r="B569" s="429"/>
      <c r="C569" s="430"/>
      <c r="D569" s="430"/>
      <c r="E569" s="431" t="s">
        <v>192</v>
      </c>
      <c r="F569" s="432">
        <f>SUM(F566:F567)</f>
        <v>7122.04</v>
      </c>
      <c r="G569" s="4"/>
      <c r="H569" s="3">
        <f>F569/10</f>
        <v>712.2</v>
      </c>
    </row>
    <row r="570" spans="1:11" ht="13.5" thickTop="1">
      <c r="A570" s="8"/>
      <c r="B570" s="376"/>
      <c r="C570" s="446"/>
      <c r="D570" s="376"/>
      <c r="E570" s="446"/>
      <c r="F570" s="446"/>
      <c r="G570" s="4"/>
    </row>
    <row r="571" spans="1:11" ht="13.5" thickBot="1">
      <c r="A571" s="8"/>
      <c r="B571" s="372" t="s">
        <v>362</v>
      </c>
      <c r="C571" s="378"/>
      <c r="D571" s="379"/>
      <c r="E571" s="446"/>
      <c r="F571" s="446"/>
      <c r="G571" s="4"/>
    </row>
    <row r="572" spans="1:11" ht="13.5" thickTop="1">
      <c r="A572" s="8"/>
      <c r="B572" s="417" t="s">
        <v>219</v>
      </c>
      <c r="C572" s="418">
        <v>1.05</v>
      </c>
      <c r="D572" s="419" t="s">
        <v>23</v>
      </c>
      <c r="E572" s="420">
        <f>F60</f>
        <v>4455.62</v>
      </c>
      <c r="F572" s="476">
        <f>ROUND(C572*E572,2)</f>
        <v>4678.3999999999996</v>
      </c>
      <c r="G572" s="4"/>
    </row>
    <row r="573" spans="1:11">
      <c r="A573" s="8"/>
      <c r="B573" s="421" t="s">
        <v>164</v>
      </c>
      <c r="C573" s="422">
        <v>2.59</v>
      </c>
      <c r="D573" s="423" t="s">
        <v>27</v>
      </c>
      <c r="E573" s="424">
        <f>F172</f>
        <v>2745.66</v>
      </c>
      <c r="F573" s="383">
        <f>ROUND(C573*E573,2)</f>
        <v>7111.26</v>
      </c>
      <c r="G573" s="4"/>
    </row>
    <row r="574" spans="1:11">
      <c r="A574" s="8"/>
      <c r="B574" s="425" t="s">
        <v>195</v>
      </c>
      <c r="C574" s="426">
        <v>1</v>
      </c>
      <c r="D574" s="427" t="s">
        <v>103</v>
      </c>
      <c r="E574" s="428">
        <v>100</v>
      </c>
      <c r="F574" s="383">
        <f>ROUND(C574*E574,2)</f>
        <v>100</v>
      </c>
      <c r="G574" s="4"/>
    </row>
    <row r="575" spans="1:11" ht="13.5" thickBot="1">
      <c r="A575" s="8"/>
      <c r="B575" s="429"/>
      <c r="C575" s="430"/>
      <c r="D575" s="430"/>
      <c r="E575" s="431" t="s">
        <v>192</v>
      </c>
      <c r="F575" s="432">
        <f>SUM(F572:F573)</f>
        <v>11789.66</v>
      </c>
      <c r="G575" s="4"/>
    </row>
    <row r="576" spans="1:11" ht="14.25" thickTop="1" thickBot="1">
      <c r="A576" s="8"/>
      <c r="B576" s="433" t="s">
        <v>363</v>
      </c>
      <c r="C576" s="434">
        <v>0.13</v>
      </c>
      <c r="D576" s="435" t="s">
        <v>23</v>
      </c>
      <c r="E576" s="434">
        <f>F575</f>
        <v>11789.66</v>
      </c>
      <c r="F576" s="436">
        <f>ROUND(C576*E576,2)</f>
        <v>1532.66</v>
      </c>
      <c r="G576" s="4"/>
      <c r="K576" s="16"/>
    </row>
    <row r="577" spans="1:11" ht="13.5" thickTop="1">
      <c r="A577" s="8"/>
      <c r="B577" s="376"/>
      <c r="C577" s="446"/>
      <c r="D577" s="376"/>
      <c r="E577" s="446"/>
      <c r="F577" s="446"/>
      <c r="G577" s="4"/>
      <c r="K577" s="16"/>
    </row>
    <row r="578" spans="1:11" ht="13.5" thickBot="1">
      <c r="A578" s="4"/>
      <c r="B578" s="412" t="s">
        <v>364</v>
      </c>
      <c r="C578" s="413">
        <f>0.2*0.15</f>
        <v>0.03</v>
      </c>
      <c r="D578" s="447"/>
      <c r="E578" s="447"/>
      <c r="F578" s="448"/>
      <c r="G578" s="4"/>
      <c r="K578" s="16"/>
    </row>
    <row r="579" spans="1:11" ht="13.5" thickTop="1">
      <c r="A579" s="4"/>
      <c r="B579" s="395" t="s">
        <v>194</v>
      </c>
      <c r="C579" s="396">
        <v>1.05</v>
      </c>
      <c r="D579" s="397" t="s">
        <v>23</v>
      </c>
      <c r="E579" s="398">
        <f>F50</f>
        <v>4962.82</v>
      </c>
      <c r="F579" s="440">
        <f>ROUND(C579*E579,2)</f>
        <v>5210.96</v>
      </c>
      <c r="G579" s="4"/>
    </row>
    <row r="580" spans="1:11">
      <c r="A580" s="4"/>
      <c r="B580" s="399" t="s">
        <v>164</v>
      </c>
      <c r="C580" s="400">
        <v>4.58</v>
      </c>
      <c r="D580" s="401" t="s">
        <v>27</v>
      </c>
      <c r="E580" s="402">
        <f>F166</f>
        <v>2600.5500000000002</v>
      </c>
      <c r="F580" s="403">
        <f>ROUND(C580*E580,2)</f>
        <v>11910.52</v>
      </c>
      <c r="G580" s="4"/>
    </row>
    <row r="581" spans="1:11">
      <c r="A581" s="4"/>
      <c r="B581" s="404" t="s">
        <v>356</v>
      </c>
      <c r="C581" s="405">
        <f>ROUND(1/C578,2)</f>
        <v>33.33</v>
      </c>
      <c r="D581" s="406" t="s">
        <v>89</v>
      </c>
      <c r="E581" s="407">
        <v>80.55</v>
      </c>
      <c r="F581" s="403">
        <f>ROUND(C581*E581,2)</f>
        <v>2684.73</v>
      </c>
      <c r="G581" s="4"/>
    </row>
    <row r="582" spans="1:11">
      <c r="A582" s="4"/>
      <c r="B582" s="404" t="s">
        <v>195</v>
      </c>
      <c r="C582" s="405">
        <f>ROUND(1/C578,2)</f>
        <v>33.33</v>
      </c>
      <c r="D582" s="406" t="s">
        <v>89</v>
      </c>
      <c r="E582" s="407">
        <v>325</v>
      </c>
      <c r="F582" s="403">
        <f>ROUND(C582*E582,2)</f>
        <v>10832.25</v>
      </c>
      <c r="G582" s="4"/>
    </row>
    <row r="583" spans="1:11" ht="13.5" thickBot="1">
      <c r="A583" s="4"/>
      <c r="B583" s="408"/>
      <c r="C583" s="409"/>
      <c r="D583" s="409"/>
      <c r="E583" s="410" t="s">
        <v>192</v>
      </c>
      <c r="F583" s="411">
        <f>SUM(F579:F582)</f>
        <v>30638.46</v>
      </c>
      <c r="G583" s="4"/>
    </row>
    <row r="584" spans="1:11" ht="13.5" thickTop="1">
      <c r="A584" s="4"/>
      <c r="B584" s="375"/>
      <c r="C584" s="374"/>
      <c r="D584" s="375"/>
      <c r="E584" s="374"/>
      <c r="F584" s="374"/>
      <c r="G584" s="4"/>
    </row>
    <row r="585" spans="1:11" ht="13.5" thickBot="1">
      <c r="A585" s="4"/>
      <c r="B585" s="1291" t="s">
        <v>365</v>
      </c>
      <c r="C585" s="1291"/>
      <c r="D585" s="1291"/>
      <c r="E585" s="1291"/>
      <c r="F585" s="1291"/>
      <c r="G585" s="4"/>
    </row>
    <row r="586" spans="1:11" ht="13.5" thickTop="1">
      <c r="A586" s="4"/>
      <c r="B586" s="437" t="s">
        <v>366</v>
      </c>
      <c r="C586" s="438">
        <v>7</v>
      </c>
      <c r="D586" s="439" t="s">
        <v>127</v>
      </c>
      <c r="E586" s="438">
        <v>990</v>
      </c>
      <c r="F586" s="476">
        <f t="shared" ref="F586:F595" si="6">ROUND(C586*E586,2)</f>
        <v>6930</v>
      </c>
      <c r="G586" s="4"/>
    </row>
    <row r="587" spans="1:11">
      <c r="A587" s="4"/>
      <c r="B587" s="441" t="s">
        <v>367</v>
      </c>
      <c r="C587" s="381">
        <v>226</v>
      </c>
      <c r="D587" s="442" t="s">
        <v>61</v>
      </c>
      <c r="E587" s="381">
        <v>35</v>
      </c>
      <c r="F587" s="383">
        <f t="shared" si="6"/>
        <v>7910</v>
      </c>
      <c r="G587" s="4"/>
    </row>
    <row r="588" spans="1:11">
      <c r="A588" s="4"/>
      <c r="B588" s="441" t="s">
        <v>368</v>
      </c>
      <c r="C588" s="381">
        <v>2</v>
      </c>
      <c r="D588" s="442" t="s">
        <v>127</v>
      </c>
      <c r="E588" s="381">
        <v>220</v>
      </c>
      <c r="F588" s="383">
        <f t="shared" si="6"/>
        <v>440</v>
      </c>
      <c r="G588" s="4"/>
    </row>
    <row r="589" spans="1:11">
      <c r="A589" s="4"/>
      <c r="B589" s="441" t="s">
        <v>369</v>
      </c>
      <c r="C589" s="381">
        <v>4</v>
      </c>
      <c r="D589" s="442" t="s">
        <v>127</v>
      </c>
      <c r="E589" s="381">
        <v>1780</v>
      </c>
      <c r="F589" s="383">
        <f t="shared" si="6"/>
        <v>7120</v>
      </c>
      <c r="G589" s="4"/>
    </row>
    <row r="590" spans="1:11">
      <c r="A590" s="4"/>
      <c r="B590" s="441" t="s">
        <v>370</v>
      </c>
      <c r="C590" s="381">
        <v>1</v>
      </c>
      <c r="D590" s="442" t="s">
        <v>127</v>
      </c>
      <c r="E590" s="381">
        <v>3700</v>
      </c>
      <c r="F590" s="383">
        <f t="shared" si="6"/>
        <v>3700</v>
      </c>
      <c r="G590" s="4"/>
    </row>
    <row r="591" spans="1:11">
      <c r="A591" s="4"/>
      <c r="B591" s="441" t="s">
        <v>371</v>
      </c>
      <c r="C591" s="381">
        <v>3</v>
      </c>
      <c r="D591" s="442" t="s">
        <v>127</v>
      </c>
      <c r="E591" s="381">
        <v>1682.3</v>
      </c>
      <c r="F591" s="383">
        <f t="shared" si="6"/>
        <v>5046.8999999999996</v>
      </c>
      <c r="G591" s="4"/>
      <c r="I591" s="3">
        <v>1425.6</v>
      </c>
    </row>
    <row r="592" spans="1:11">
      <c r="A592" s="4"/>
      <c r="B592" s="441" t="s">
        <v>372</v>
      </c>
      <c r="C592" s="381">
        <v>4</v>
      </c>
      <c r="D592" s="442" t="s">
        <v>127</v>
      </c>
      <c r="E592" s="381">
        <v>700</v>
      </c>
      <c r="F592" s="383">
        <f t="shared" si="6"/>
        <v>2800</v>
      </c>
      <c r="G592" s="4"/>
      <c r="I592" s="3">
        <f>I591*1.18</f>
        <v>1682.2</v>
      </c>
    </row>
    <row r="593" spans="1:9">
      <c r="A593" s="4"/>
      <c r="B593" s="441" t="s">
        <v>373</v>
      </c>
      <c r="C593" s="381">
        <v>9</v>
      </c>
      <c r="D593" s="442" t="s">
        <v>374</v>
      </c>
      <c r="E593" s="381">
        <v>80</v>
      </c>
      <c r="F593" s="383">
        <f t="shared" si="6"/>
        <v>720</v>
      </c>
      <c r="G593" s="4"/>
    </row>
    <row r="594" spans="1:9" ht="25.5">
      <c r="A594" s="4"/>
      <c r="B594" s="443" t="s">
        <v>375</v>
      </c>
      <c r="C594" s="444">
        <v>1</v>
      </c>
      <c r="D594" s="445" t="s">
        <v>103</v>
      </c>
      <c r="E594" s="444">
        <v>3500</v>
      </c>
      <c r="F594" s="474">
        <f t="shared" si="6"/>
        <v>3500</v>
      </c>
      <c r="G594" s="390"/>
    </row>
    <row r="595" spans="1:9" ht="12.75" customHeight="1">
      <c r="A595" s="4"/>
      <c r="B595" s="441" t="s">
        <v>376</v>
      </c>
      <c r="C595" s="381">
        <v>1</v>
      </c>
      <c r="D595" s="442" t="s">
        <v>127</v>
      </c>
      <c r="E595" s="381">
        <v>15000</v>
      </c>
      <c r="F595" s="383">
        <f t="shared" si="6"/>
        <v>15000</v>
      </c>
      <c r="G595" s="4"/>
    </row>
    <row r="596" spans="1:9" ht="12.75" customHeight="1" thickBot="1">
      <c r="A596" s="4"/>
      <c r="B596" s="477"/>
      <c r="C596" s="478"/>
      <c r="D596" s="479"/>
      <c r="E596" s="478"/>
      <c r="F596" s="480">
        <f>SUM(F586:F595)</f>
        <v>53166.9</v>
      </c>
      <c r="G596" s="4"/>
    </row>
    <row r="597" spans="1:9" ht="12.75" customHeight="1" thickTop="1">
      <c r="B597" s="8"/>
      <c r="C597" s="359"/>
      <c r="D597" s="376"/>
      <c r="E597" s="359"/>
      <c r="F597" s="359"/>
    </row>
    <row r="598" spans="1:9" ht="12.75" customHeight="1" thickBot="1">
      <c r="B598" s="364" t="s">
        <v>377</v>
      </c>
      <c r="C598" s="359">
        <f>(2.7*4)*10.76</f>
        <v>116.21</v>
      </c>
      <c r="D598" s="377" t="s">
        <v>61</v>
      </c>
      <c r="E598" s="359"/>
      <c r="F598" s="359"/>
      <c r="I598" s="3">
        <v>977.1</v>
      </c>
    </row>
    <row r="599" spans="1:9" ht="12.75" customHeight="1" thickTop="1">
      <c r="B599" s="481" t="s">
        <v>378</v>
      </c>
      <c r="C599" s="438">
        <v>6</v>
      </c>
      <c r="D599" s="482" t="s">
        <v>127</v>
      </c>
      <c r="E599" s="438">
        <v>1682.3</v>
      </c>
      <c r="F599" s="440">
        <f t="shared" ref="F599:F605" si="7">ROUND(C599*E599,2)</f>
        <v>10093.799999999999</v>
      </c>
      <c r="I599" s="3">
        <f>I598*1.18</f>
        <v>1153</v>
      </c>
    </row>
    <row r="600" spans="1:9" ht="12.75" customHeight="1">
      <c r="B600" s="380" t="s">
        <v>379</v>
      </c>
      <c r="C600" s="381">
        <v>4</v>
      </c>
      <c r="D600" s="384" t="s">
        <v>127</v>
      </c>
      <c r="E600" s="381">
        <v>1200</v>
      </c>
      <c r="F600" s="403">
        <f t="shared" si="7"/>
        <v>4800</v>
      </c>
    </row>
    <row r="601" spans="1:9" ht="12.75" customHeight="1">
      <c r="B601" s="380" t="s">
        <v>380</v>
      </c>
      <c r="C601" s="381">
        <v>1</v>
      </c>
      <c r="D601" s="384" t="s">
        <v>127</v>
      </c>
      <c r="E601" s="381">
        <v>130</v>
      </c>
      <c r="F601" s="403">
        <f t="shared" si="7"/>
        <v>130</v>
      </c>
    </row>
    <row r="602" spans="1:9" ht="12.75" customHeight="1">
      <c r="B602" s="380" t="s">
        <v>381</v>
      </c>
      <c r="C602" s="381">
        <v>6</v>
      </c>
      <c r="D602" s="384" t="s">
        <v>127</v>
      </c>
      <c r="E602" s="381">
        <v>31</v>
      </c>
      <c r="F602" s="403">
        <f t="shared" si="7"/>
        <v>186</v>
      </c>
    </row>
    <row r="603" spans="1:9" ht="12.75" customHeight="1">
      <c r="B603" s="380" t="s">
        <v>382</v>
      </c>
      <c r="C603" s="381">
        <v>1</v>
      </c>
      <c r="D603" s="384" t="s">
        <v>127</v>
      </c>
      <c r="E603" s="381">
        <v>140</v>
      </c>
      <c r="F603" s="403">
        <f t="shared" si="7"/>
        <v>140</v>
      </c>
    </row>
    <row r="604" spans="1:9" ht="12.75" customHeight="1">
      <c r="B604" s="380" t="s">
        <v>383</v>
      </c>
      <c r="C604" s="381">
        <v>1</v>
      </c>
      <c r="D604" s="384" t="s">
        <v>103</v>
      </c>
      <c r="E604" s="381">
        <v>2500</v>
      </c>
      <c r="F604" s="403">
        <f t="shared" si="7"/>
        <v>2500</v>
      </c>
    </row>
    <row r="605" spans="1:9" ht="12.75" customHeight="1">
      <c r="B605" s="441" t="s">
        <v>376</v>
      </c>
      <c r="C605" s="381">
        <v>1</v>
      </c>
      <c r="D605" s="384" t="s">
        <v>127</v>
      </c>
      <c r="E605" s="381">
        <v>8500</v>
      </c>
      <c r="F605" s="403">
        <f t="shared" si="7"/>
        <v>8500</v>
      </c>
    </row>
    <row r="606" spans="1:9" ht="12.75" customHeight="1">
      <c r="B606" s="483"/>
      <c r="C606" s="484"/>
      <c r="D606" s="485"/>
      <c r="E606" s="486" t="s">
        <v>384</v>
      </c>
      <c r="F606" s="487">
        <f>SUM(F599:F605)</f>
        <v>26349.8</v>
      </c>
      <c r="I606" s="362"/>
    </row>
    <row r="607" spans="1:9" ht="12.75" customHeight="1" thickBot="1">
      <c r="B607" s="385"/>
      <c r="C607" s="386"/>
      <c r="D607" s="387"/>
      <c r="E607" s="388" t="s">
        <v>385</v>
      </c>
      <c r="F607" s="488">
        <f>F606/C598</f>
        <v>226.74</v>
      </c>
      <c r="I607" s="362"/>
    </row>
    <row r="608" spans="1:9" ht="12.75" customHeight="1" thickTop="1">
      <c r="B608" s="8"/>
      <c r="C608" s="359"/>
      <c r="D608" s="376"/>
      <c r="E608" s="359"/>
      <c r="F608" s="359"/>
    </row>
    <row r="609" spans="2:10" ht="12.75" customHeight="1">
      <c r="B609" s="8"/>
      <c r="C609" s="359"/>
      <c r="D609" s="376"/>
      <c r="E609" s="359"/>
      <c r="F609" s="359"/>
    </row>
    <row r="610" spans="2:10" ht="12.75" customHeight="1" thickBot="1">
      <c r="B610" s="364" t="s">
        <v>386</v>
      </c>
      <c r="C610" s="359">
        <f>(2.1*0.9)*10.76</f>
        <v>20.34</v>
      </c>
      <c r="D610" s="377" t="s">
        <v>61</v>
      </c>
      <c r="E610" s="359"/>
      <c r="F610" s="359"/>
    </row>
    <row r="611" spans="2:10" ht="12.75" customHeight="1" thickTop="1">
      <c r="B611" s="481" t="s">
        <v>378</v>
      </c>
      <c r="C611" s="438">
        <v>3</v>
      </c>
      <c r="D611" s="482" t="s">
        <v>127</v>
      </c>
      <c r="E611" s="438">
        <v>1682.3</v>
      </c>
      <c r="F611" s="440">
        <f t="shared" ref="F611:F617" si="8">ROUND(C611*E611,2)</f>
        <v>5046.8999999999996</v>
      </c>
    </row>
    <row r="612" spans="2:10">
      <c r="B612" s="380" t="s">
        <v>387</v>
      </c>
      <c r="C612" s="381">
        <v>2</v>
      </c>
      <c r="D612" s="384" t="s">
        <v>127</v>
      </c>
      <c r="E612" s="381">
        <v>475</v>
      </c>
      <c r="F612" s="403">
        <f t="shared" si="8"/>
        <v>950</v>
      </c>
    </row>
    <row r="613" spans="2:10">
      <c r="B613" s="380" t="s">
        <v>388</v>
      </c>
      <c r="C613" s="381">
        <v>1</v>
      </c>
      <c r="D613" s="384" t="s">
        <v>127</v>
      </c>
      <c r="E613" s="381">
        <v>1900</v>
      </c>
      <c r="F613" s="403">
        <f t="shared" si="8"/>
        <v>1900</v>
      </c>
      <c r="I613" s="3">
        <v>1624.9</v>
      </c>
      <c r="J613" s="3">
        <f>I613/3.28</f>
        <v>495.4</v>
      </c>
    </row>
    <row r="614" spans="2:10">
      <c r="B614" s="380" t="s">
        <v>380</v>
      </c>
      <c r="C614" s="381">
        <v>1</v>
      </c>
      <c r="D614" s="384" t="s">
        <v>127</v>
      </c>
      <c r="E614" s="381">
        <v>130</v>
      </c>
      <c r="F614" s="403">
        <f t="shared" si="8"/>
        <v>130</v>
      </c>
    </row>
    <row r="615" spans="2:10">
      <c r="B615" s="380" t="s">
        <v>381</v>
      </c>
      <c r="C615" s="381">
        <v>4</v>
      </c>
      <c r="D615" s="384" t="s">
        <v>127</v>
      </c>
      <c r="E615" s="381">
        <v>31</v>
      </c>
      <c r="F615" s="403">
        <f t="shared" si="8"/>
        <v>124</v>
      </c>
      <c r="H615" s="3">
        <v>3</v>
      </c>
      <c r="I615" s="3">
        <v>90</v>
      </c>
    </row>
    <row r="616" spans="2:10">
      <c r="B616" s="380" t="s">
        <v>383</v>
      </c>
      <c r="C616" s="381">
        <v>1</v>
      </c>
      <c r="D616" s="384" t="s">
        <v>103</v>
      </c>
      <c r="E616" s="381">
        <v>2000</v>
      </c>
      <c r="F616" s="403">
        <f t="shared" si="8"/>
        <v>2000</v>
      </c>
      <c r="I616" s="3">
        <v>120</v>
      </c>
    </row>
    <row r="617" spans="2:10">
      <c r="B617" s="441" t="s">
        <v>376</v>
      </c>
      <c r="C617" s="381">
        <v>1</v>
      </c>
      <c r="D617" s="384" t="s">
        <v>127</v>
      </c>
      <c r="E617" s="381">
        <v>5000</v>
      </c>
      <c r="F617" s="403">
        <f t="shared" si="8"/>
        <v>5000</v>
      </c>
      <c r="I617" s="3">
        <v>500</v>
      </c>
    </row>
    <row r="618" spans="2:10" ht="13.5" thickBot="1">
      <c r="B618" s="385"/>
      <c r="C618" s="386"/>
      <c r="D618" s="387"/>
      <c r="E618" s="486" t="s">
        <v>384</v>
      </c>
      <c r="F618" s="480">
        <f>SUM(F611:F617)</f>
        <v>15150.9</v>
      </c>
    </row>
    <row r="619" spans="2:10" ht="14.25" thickTop="1" thickBot="1">
      <c r="B619" s="385"/>
      <c r="C619" s="386"/>
      <c r="D619" s="387"/>
      <c r="E619" s="388" t="s">
        <v>385</v>
      </c>
      <c r="F619" s="488">
        <f>F618/C610</f>
        <v>744.88</v>
      </c>
    </row>
    <row r="620" spans="2:10" ht="13.5" thickTop="1">
      <c r="B620" s="8"/>
      <c r="C620" s="359"/>
      <c r="D620" s="376"/>
      <c r="E620" s="359"/>
      <c r="F620" s="359"/>
    </row>
    <row r="621" spans="2:10" ht="13.5" thickBot="1">
      <c r="B621" s="1291" t="s">
        <v>389</v>
      </c>
      <c r="C621" s="1291"/>
      <c r="D621" s="1291"/>
      <c r="E621" s="1291"/>
      <c r="F621" s="1291"/>
    </row>
    <row r="622" spans="2:10" ht="13.5" thickTop="1">
      <c r="B622" s="8"/>
      <c r="C622" s="359"/>
      <c r="D622" s="376"/>
      <c r="E622" s="359"/>
      <c r="F622" s="359"/>
    </row>
    <row r="623" spans="2:10" ht="13.5" thickBot="1">
      <c r="B623" s="392" t="s">
        <v>390</v>
      </c>
      <c r="C623" s="393"/>
      <c r="D623" s="394"/>
      <c r="E623" s="393"/>
      <c r="F623" s="393"/>
    </row>
    <row r="624" spans="2:10" ht="13.5" thickTop="1">
      <c r="B624" s="395" t="s">
        <v>219</v>
      </c>
      <c r="C624" s="396">
        <v>1.05</v>
      </c>
      <c r="D624" s="397" t="s">
        <v>23</v>
      </c>
      <c r="E624" s="398">
        <f>F60</f>
        <v>4455.62</v>
      </c>
      <c r="F624" s="440">
        <f>ROUND(C624*E624,2)</f>
        <v>4678.3999999999996</v>
      </c>
    </row>
    <row r="625" spans="2:6">
      <c r="B625" s="399" t="s">
        <v>164</v>
      </c>
      <c r="C625" s="400">
        <v>0.79</v>
      </c>
      <c r="D625" s="401" t="s">
        <v>27</v>
      </c>
      <c r="E625" s="402">
        <f>F166</f>
        <v>2600.5500000000002</v>
      </c>
      <c r="F625" s="403">
        <f>ROUND(C625*E625,2)</f>
        <v>2054.4299999999998</v>
      </c>
    </row>
    <row r="626" spans="2:6">
      <c r="B626" s="404" t="s">
        <v>356</v>
      </c>
      <c r="C626" s="405">
        <v>8.9</v>
      </c>
      <c r="D626" s="406" t="s">
        <v>89</v>
      </c>
      <c r="E626" s="407">
        <v>80.55</v>
      </c>
      <c r="F626" s="403">
        <f>ROUND(C626*E626,2)</f>
        <v>716.9</v>
      </c>
    </row>
    <row r="627" spans="2:6" ht="13.5" thickBot="1">
      <c r="B627" s="408"/>
      <c r="C627" s="409"/>
      <c r="D627" s="409"/>
      <c r="E627" s="410" t="s">
        <v>192</v>
      </c>
      <c r="F627" s="411">
        <f>SUM(F624:F625)</f>
        <v>6732.83</v>
      </c>
    </row>
    <row r="628" spans="2:6" ht="13.5" thickTop="1">
      <c r="B628" s="8"/>
      <c r="C628" s="359"/>
      <c r="D628" s="376"/>
      <c r="E628" s="359"/>
      <c r="F628" s="359"/>
    </row>
    <row r="629" spans="2:6" ht="13.5" thickBot="1">
      <c r="B629" s="412" t="s">
        <v>391</v>
      </c>
      <c r="C629" s="413">
        <f>0.2*0.2</f>
        <v>0.04</v>
      </c>
      <c r="D629" s="414"/>
      <c r="E629" s="414"/>
      <c r="F629" s="415"/>
    </row>
    <row r="630" spans="2:6" ht="13.5" thickTop="1">
      <c r="B630" s="395" t="s">
        <v>194</v>
      </c>
      <c r="C630" s="396">
        <v>1.05</v>
      </c>
      <c r="D630" s="397" t="s">
        <v>23</v>
      </c>
      <c r="E630" s="398">
        <f>F50</f>
        <v>4962.82</v>
      </c>
      <c r="F630" s="440">
        <f>ROUND(C630*E630,2)</f>
        <v>5210.96</v>
      </c>
    </row>
    <row r="631" spans="2:6">
      <c r="B631" s="399" t="s">
        <v>164</v>
      </c>
      <c r="C631" s="400">
        <v>4.58</v>
      </c>
      <c r="D631" s="401" t="s">
        <v>27</v>
      </c>
      <c r="E631" s="402">
        <f>F166</f>
        <v>2600.5500000000002</v>
      </c>
      <c r="F631" s="403">
        <f>ROUND(C631*E631,2)</f>
        <v>11910.52</v>
      </c>
    </row>
    <row r="632" spans="2:6">
      <c r="B632" s="404" t="s">
        <v>356</v>
      </c>
      <c r="C632" s="405">
        <f>ROUND(1/C629,2)</f>
        <v>25</v>
      </c>
      <c r="D632" s="406" t="s">
        <v>89</v>
      </c>
      <c r="E632" s="407">
        <v>80.55</v>
      </c>
      <c r="F632" s="403">
        <f>ROUND(C632*E632,2)</f>
        <v>2013.75</v>
      </c>
    </row>
    <row r="633" spans="2:6">
      <c r="B633" s="404" t="s">
        <v>195</v>
      </c>
      <c r="C633" s="405">
        <f>ROUND(1/C629,2)</f>
        <v>25</v>
      </c>
      <c r="D633" s="406" t="s">
        <v>89</v>
      </c>
      <c r="E633" s="407">
        <v>325</v>
      </c>
      <c r="F633" s="403">
        <f>ROUND(C633*E633,2)</f>
        <v>8125</v>
      </c>
    </row>
    <row r="634" spans="2:6" ht="13.5" thickBot="1">
      <c r="B634" s="408"/>
      <c r="C634" s="409"/>
      <c r="D634" s="409"/>
      <c r="E634" s="410" t="s">
        <v>192</v>
      </c>
      <c r="F634" s="411">
        <f>SUM(F630:F633)</f>
        <v>27260.23</v>
      </c>
    </row>
    <row r="635" spans="2:6" ht="13.5" thickTop="1">
      <c r="B635" s="8"/>
      <c r="C635" s="359"/>
      <c r="D635" s="376"/>
      <c r="E635" s="359"/>
      <c r="F635" s="359"/>
    </row>
    <row r="636" spans="2:6">
      <c r="B636" s="8"/>
      <c r="C636" s="359"/>
      <c r="D636" s="376"/>
      <c r="E636" s="359"/>
      <c r="F636" s="359"/>
    </row>
    <row r="637" spans="2:6" ht="13.5" thickBot="1">
      <c r="B637" s="412" t="s">
        <v>392</v>
      </c>
      <c r="C637" s="413">
        <f>0.2*0.25</f>
        <v>0.05</v>
      </c>
      <c r="D637" s="414"/>
      <c r="E637" s="414"/>
      <c r="F637" s="415"/>
    </row>
    <row r="638" spans="2:6" ht="13.5" thickTop="1">
      <c r="B638" s="395" t="s">
        <v>194</v>
      </c>
      <c r="C638" s="396">
        <v>1.05</v>
      </c>
      <c r="D638" s="397" t="s">
        <v>23</v>
      </c>
      <c r="E638" s="398">
        <f>F50</f>
        <v>4962.82</v>
      </c>
      <c r="F638" s="440">
        <f>ROUND(C638*E638,2)</f>
        <v>5210.96</v>
      </c>
    </row>
    <row r="639" spans="2:6">
      <c r="B639" s="399" t="s">
        <v>164</v>
      </c>
      <c r="C639" s="400">
        <v>11.14</v>
      </c>
      <c r="D639" s="401" t="s">
        <v>27</v>
      </c>
      <c r="E639" s="402">
        <f>F166</f>
        <v>2600.5500000000002</v>
      </c>
      <c r="F639" s="403">
        <f>ROUND(C639*E639,2)</f>
        <v>28970.13</v>
      </c>
    </row>
    <row r="640" spans="2:6">
      <c r="B640" s="404" t="s">
        <v>356</v>
      </c>
      <c r="C640" s="405">
        <v>20</v>
      </c>
      <c r="D640" s="406" t="s">
        <v>89</v>
      </c>
      <c r="E640" s="407">
        <v>80.55</v>
      </c>
      <c r="F640" s="403">
        <f>ROUND(C640*E640,2)</f>
        <v>1611</v>
      </c>
    </row>
    <row r="641" spans="2:9">
      <c r="B641" s="404" t="s">
        <v>195</v>
      </c>
      <c r="C641" s="405">
        <f>ROUND(1/C637,2)</f>
        <v>20</v>
      </c>
      <c r="D641" s="406" t="s">
        <v>89</v>
      </c>
      <c r="E641" s="407">
        <v>250</v>
      </c>
      <c r="F641" s="403">
        <f>ROUND(C641*E641,2)</f>
        <v>5000</v>
      </c>
    </row>
    <row r="642" spans="2:9" ht="13.5" thickBot="1">
      <c r="B642" s="408"/>
      <c r="C642" s="409"/>
      <c r="D642" s="409"/>
      <c r="E642" s="410" t="s">
        <v>192</v>
      </c>
      <c r="F642" s="411">
        <f>SUM(F638:F641)</f>
        <v>40792.089999999997</v>
      </c>
    </row>
    <row r="643" spans="2:9" ht="13.5" thickTop="1">
      <c r="B643" s="8"/>
      <c r="C643" s="359"/>
      <c r="D643" s="376"/>
      <c r="E643" s="359"/>
      <c r="F643" s="359"/>
    </row>
    <row r="644" spans="2:9" ht="13.5" thickBot="1">
      <c r="B644" s="412" t="s">
        <v>393</v>
      </c>
      <c r="C644" s="413">
        <f>0.2*0.15</f>
        <v>0.03</v>
      </c>
      <c r="D644" s="414"/>
      <c r="E644" s="414"/>
      <c r="F644" s="415"/>
    </row>
    <row r="645" spans="2:9" ht="13.5" thickTop="1">
      <c r="B645" s="395" t="s">
        <v>194</v>
      </c>
      <c r="C645" s="396">
        <v>1.05</v>
      </c>
      <c r="D645" s="397" t="s">
        <v>23</v>
      </c>
      <c r="E645" s="398">
        <f>F50</f>
        <v>4962.82</v>
      </c>
      <c r="F645" s="440">
        <f>ROUND(C645*E645,2)</f>
        <v>5210.96</v>
      </c>
    </row>
    <row r="646" spans="2:9">
      <c r="B646" s="399" t="s">
        <v>164</v>
      </c>
      <c r="C646" s="400">
        <v>5</v>
      </c>
      <c r="D646" s="401" t="s">
        <v>27</v>
      </c>
      <c r="E646" s="402">
        <f>F166</f>
        <v>2600.5500000000002</v>
      </c>
      <c r="F646" s="403">
        <f>ROUND(C646*E646,2)</f>
        <v>13002.75</v>
      </c>
    </row>
    <row r="647" spans="2:9">
      <c r="B647" s="404" t="s">
        <v>356</v>
      </c>
      <c r="C647" s="405">
        <f>ROUND(1/C644,2)</f>
        <v>33.33</v>
      </c>
      <c r="D647" s="406" t="s">
        <v>89</v>
      </c>
      <c r="E647" s="407">
        <v>80.55</v>
      </c>
      <c r="F647" s="403">
        <f>ROUND(C647*E647,2)</f>
        <v>2684.73</v>
      </c>
    </row>
    <row r="648" spans="2:9">
      <c r="B648" s="404" t="s">
        <v>195</v>
      </c>
      <c r="C648" s="405">
        <f>ROUND(1/C644,2)</f>
        <v>33.33</v>
      </c>
      <c r="D648" s="406" t="s">
        <v>89</v>
      </c>
      <c r="E648" s="407">
        <v>200</v>
      </c>
      <c r="F648" s="403">
        <f>ROUND(C648*E648,2)</f>
        <v>6666</v>
      </c>
    </row>
    <row r="649" spans="2:9" ht="13.5" thickBot="1">
      <c r="B649" s="408"/>
      <c r="C649" s="409"/>
      <c r="D649" s="409"/>
      <c r="E649" s="410" t="s">
        <v>192</v>
      </c>
      <c r="F649" s="411">
        <f>SUM(F645:F648)</f>
        <v>27564.44</v>
      </c>
    </row>
    <row r="650" spans="2:9" ht="13.5" thickTop="1">
      <c r="B650" s="8"/>
      <c r="C650" s="359"/>
      <c r="D650" s="376"/>
      <c r="E650" s="359"/>
      <c r="F650" s="359"/>
      <c r="I650" s="3">
        <v>3312378.6</v>
      </c>
    </row>
    <row r="651" spans="2:9" ht="13.5" thickBot="1">
      <c r="B651" s="416" t="s">
        <v>394</v>
      </c>
      <c r="C651" s="413">
        <v>0.13</v>
      </c>
      <c r="D651" s="414"/>
      <c r="E651" s="414"/>
      <c r="F651" s="415"/>
      <c r="I651" s="459">
        <v>2845825.1</v>
      </c>
    </row>
    <row r="652" spans="2:9" ht="13.5" thickTop="1">
      <c r="B652" s="395" t="s">
        <v>219</v>
      </c>
      <c r="C652" s="396">
        <v>1.05</v>
      </c>
      <c r="D652" s="397" t="s">
        <v>23</v>
      </c>
      <c r="E652" s="398">
        <f>F60</f>
        <v>4455.62</v>
      </c>
      <c r="F652" s="440">
        <f>ROUND(C652*E652,2)</f>
        <v>4678.3999999999996</v>
      </c>
    </row>
    <row r="653" spans="2:9">
      <c r="B653" s="399" t="s">
        <v>164</v>
      </c>
      <c r="C653" s="400">
        <v>1.05</v>
      </c>
      <c r="D653" s="401" t="s">
        <v>27</v>
      </c>
      <c r="E653" s="402">
        <f>F172</f>
        <v>2745.66</v>
      </c>
      <c r="F653" s="403">
        <f>ROUND(C653*E653,2)</f>
        <v>2882.94</v>
      </c>
      <c r="I653" s="362">
        <f>I650-I651</f>
        <v>466553.5</v>
      </c>
    </row>
    <row r="654" spans="2:9">
      <c r="B654" s="404" t="s">
        <v>195</v>
      </c>
      <c r="C654" s="405">
        <f>ROUND(1/C651,2)</f>
        <v>7.69</v>
      </c>
      <c r="D654" s="406" t="s">
        <v>89</v>
      </c>
      <c r="E654" s="407">
        <v>185</v>
      </c>
      <c r="F654" s="403">
        <f>ROUND(C654*E654,2)</f>
        <v>1422.65</v>
      </c>
    </row>
    <row r="655" spans="2:9" ht="13.5" thickBot="1">
      <c r="B655" s="408"/>
      <c r="C655" s="409"/>
      <c r="D655" s="409"/>
      <c r="E655" s="410" t="s">
        <v>192</v>
      </c>
      <c r="F655" s="411">
        <f>SUM(F652:F654)</f>
        <v>8983.99</v>
      </c>
    </row>
    <row r="656" spans="2:9" ht="13.5" thickTop="1">
      <c r="B656" s="8"/>
      <c r="C656" s="359"/>
      <c r="D656" s="376"/>
      <c r="E656" s="359"/>
      <c r="F656" s="359"/>
    </row>
    <row r="657" spans="2:6" ht="13.5" thickBot="1">
      <c r="B657" s="465" t="s">
        <v>395</v>
      </c>
      <c r="C657" s="378"/>
      <c r="D657" s="379"/>
      <c r="E657" s="378"/>
      <c r="F657" s="378"/>
    </row>
    <row r="658" spans="2:6" ht="13.5" thickTop="1">
      <c r="B658" s="417" t="s">
        <v>219</v>
      </c>
      <c r="C658" s="418">
        <v>1.05</v>
      </c>
      <c r="D658" s="419" t="s">
        <v>23</v>
      </c>
      <c r="E658" s="420">
        <f>F60</f>
        <v>4455.62</v>
      </c>
      <c r="F658" s="476">
        <f>ROUND(C658*E658,2)</f>
        <v>4678.3999999999996</v>
      </c>
    </row>
    <row r="659" spans="2:6">
      <c r="B659" s="421" t="s">
        <v>164</v>
      </c>
      <c r="C659" s="422">
        <v>0.63</v>
      </c>
      <c r="D659" s="423" t="s">
        <v>27</v>
      </c>
      <c r="E659" s="424">
        <f>F172</f>
        <v>2745.66</v>
      </c>
      <c r="F659" s="383">
        <f>ROUND(C659*E659,2)</f>
        <v>1729.77</v>
      </c>
    </row>
    <row r="660" spans="2:6">
      <c r="B660" s="425" t="s">
        <v>195</v>
      </c>
      <c r="C660" s="426">
        <v>1</v>
      </c>
      <c r="D660" s="427" t="s">
        <v>103</v>
      </c>
      <c r="E660" s="428">
        <v>100</v>
      </c>
      <c r="F660" s="383">
        <f>ROUND(C660*E660,2)</f>
        <v>100</v>
      </c>
    </row>
    <row r="661" spans="2:6" ht="13.5" thickBot="1">
      <c r="B661" s="429"/>
      <c r="C661" s="430"/>
      <c r="D661" s="430"/>
      <c r="E661" s="431" t="s">
        <v>192</v>
      </c>
      <c r="F661" s="432">
        <f>SUM(F658:F659)</f>
        <v>6408.17</v>
      </c>
    </row>
    <row r="662" spans="2:6" ht="13.5" thickTop="1">
      <c r="B662" s="461"/>
      <c r="C662" s="462"/>
      <c r="D662" s="463"/>
      <c r="E662" s="462"/>
      <c r="F662" s="464"/>
    </row>
    <row r="663" spans="2:6" ht="12.75" customHeight="1">
      <c r="B663" s="1292" t="s">
        <v>396</v>
      </c>
      <c r="C663" s="1292"/>
      <c r="D663" s="1292"/>
      <c r="E663" s="1292"/>
      <c r="F663" s="1292"/>
    </row>
    <row r="664" spans="2:6">
      <c r="B664" s="8"/>
      <c r="C664" s="359"/>
      <c r="D664" s="376"/>
      <c r="E664" s="359"/>
      <c r="F664" s="359"/>
    </row>
    <row r="665" spans="2:6" ht="13.5" thickBot="1">
      <c r="B665" s="372" t="s">
        <v>397</v>
      </c>
      <c r="C665" s="378"/>
      <c r="D665" s="379"/>
      <c r="E665" s="378"/>
      <c r="F665" s="378"/>
    </row>
    <row r="666" spans="2:6" ht="13.5" thickTop="1">
      <c r="B666" s="417" t="s">
        <v>219</v>
      </c>
      <c r="C666" s="418">
        <v>1.05</v>
      </c>
      <c r="D666" s="471" t="s">
        <v>23</v>
      </c>
      <c r="E666" s="420">
        <f>F60</f>
        <v>4455.62</v>
      </c>
      <c r="F666" s="476">
        <f>ROUND(C666*E666,2)</f>
        <v>4678.3999999999996</v>
      </c>
    </row>
    <row r="667" spans="2:6">
      <c r="B667" s="421" t="s">
        <v>164</v>
      </c>
      <c r="C667" s="422">
        <v>1.36</v>
      </c>
      <c r="D667" s="472" t="s">
        <v>27</v>
      </c>
      <c r="E667" s="424">
        <f>F172</f>
        <v>2745.66</v>
      </c>
      <c r="F667" s="383">
        <f>ROUND(C667*E667,2)</f>
        <v>3734.1</v>
      </c>
    </row>
    <row r="668" spans="2:6" ht="13.5" thickBot="1">
      <c r="B668" s="429"/>
      <c r="C668" s="430"/>
      <c r="D668" s="430"/>
      <c r="E668" s="431" t="s">
        <v>192</v>
      </c>
      <c r="F668" s="432">
        <f>SUM(F666:F667)</f>
        <v>8412.5</v>
      </c>
    </row>
    <row r="669" spans="2:6" ht="13.5" thickTop="1">
      <c r="B669" s="8"/>
      <c r="C669" s="359"/>
      <c r="D669" s="376"/>
      <c r="E669" s="359"/>
      <c r="F669" s="359"/>
    </row>
    <row r="670" spans="2:6" ht="13.5" thickBot="1">
      <c r="B670" s="467" t="s">
        <v>398</v>
      </c>
      <c r="C670" s="468">
        <v>0.2</v>
      </c>
      <c r="D670" s="469"/>
      <c r="E670" s="469"/>
      <c r="F670" s="470"/>
    </row>
    <row r="671" spans="2:6" ht="13.5" thickTop="1">
      <c r="B671" s="417" t="s">
        <v>219</v>
      </c>
      <c r="C671" s="418">
        <v>1.05</v>
      </c>
      <c r="D671" s="471" t="s">
        <v>23</v>
      </c>
      <c r="E671" s="420">
        <f>F60</f>
        <v>4455.62</v>
      </c>
      <c r="F671" s="476">
        <f>ROUND(C671*E671,2)</f>
        <v>4678.3999999999996</v>
      </c>
    </row>
    <row r="672" spans="2:6">
      <c r="B672" s="421" t="s">
        <v>164</v>
      </c>
      <c r="C672" s="422">
        <v>3.93</v>
      </c>
      <c r="D672" s="472" t="s">
        <v>27</v>
      </c>
      <c r="E672" s="424">
        <f>F172</f>
        <v>2745.66</v>
      </c>
      <c r="F672" s="383">
        <f>ROUND(C672*E672,2)</f>
        <v>10790.44</v>
      </c>
    </row>
    <row r="673" spans="2:6">
      <c r="B673" s="425" t="s">
        <v>195</v>
      </c>
      <c r="C673" s="426">
        <f>ROUND(1/C670,2)</f>
        <v>5</v>
      </c>
      <c r="D673" s="473" t="s">
        <v>89</v>
      </c>
      <c r="E673" s="428">
        <v>650</v>
      </c>
      <c r="F673" s="383">
        <f>ROUND(C673*E673,2)</f>
        <v>3250</v>
      </c>
    </row>
    <row r="674" spans="2:6" ht="13.5" thickBot="1">
      <c r="B674" s="429"/>
      <c r="C674" s="430"/>
      <c r="D674" s="430"/>
      <c r="E674" s="431" t="s">
        <v>192</v>
      </c>
      <c r="F674" s="432">
        <f>SUM(F671:F673)</f>
        <v>18718.84</v>
      </c>
    </row>
    <row r="675" spans="2:6" ht="13.5" thickTop="1">
      <c r="B675" s="8"/>
      <c r="C675" s="359"/>
      <c r="D675" s="376"/>
      <c r="E675" s="359"/>
      <c r="F675" s="359"/>
    </row>
    <row r="676" spans="2:6">
      <c r="B676" s="1292" t="s">
        <v>399</v>
      </c>
      <c r="C676" s="1292"/>
      <c r="D676" s="1292"/>
      <c r="E676" s="1292"/>
      <c r="F676" s="1292"/>
    </row>
    <row r="677" spans="2:6">
      <c r="B677" s="8"/>
      <c r="C677" s="359"/>
      <c r="D677" s="376"/>
      <c r="E677" s="359"/>
      <c r="F677" s="359"/>
    </row>
    <row r="678" spans="2:6" ht="13.5" thickBot="1">
      <c r="B678" s="467" t="s">
        <v>400</v>
      </c>
      <c r="C678" s="468"/>
      <c r="D678" s="469"/>
      <c r="E678" s="469"/>
      <c r="F678" s="470"/>
    </row>
    <row r="679" spans="2:6" ht="13.5" thickTop="1">
      <c r="B679" s="417" t="s">
        <v>219</v>
      </c>
      <c r="C679" s="418">
        <v>1.05</v>
      </c>
      <c r="D679" s="419" t="s">
        <v>23</v>
      </c>
      <c r="E679" s="420">
        <f>F60</f>
        <v>4455.62</v>
      </c>
      <c r="F679" s="476">
        <f>ROUND(C679*E679,2)</f>
        <v>4678.3999999999996</v>
      </c>
    </row>
    <row r="680" spans="2:6">
      <c r="B680" s="421" t="s">
        <v>164</v>
      </c>
      <c r="C680" s="422">
        <v>0.72</v>
      </c>
      <c r="D680" s="423" t="s">
        <v>27</v>
      </c>
      <c r="E680" s="424">
        <f>F172</f>
        <v>2745.66</v>
      </c>
      <c r="F680" s="383">
        <f>ROUND(C680*E680,2)</f>
        <v>1976.88</v>
      </c>
    </row>
    <row r="681" spans="2:6" ht="13.5" thickBot="1">
      <c r="B681" s="429"/>
      <c r="C681" s="430"/>
      <c r="D681" s="430"/>
      <c r="E681" s="431" t="s">
        <v>192</v>
      </c>
      <c r="F681" s="432">
        <f>SUM(F679:F680)</f>
        <v>6655.28</v>
      </c>
    </row>
    <row r="682" spans="2:6" ht="13.5" thickTop="1">
      <c r="B682" s="8"/>
      <c r="C682" s="359"/>
      <c r="D682" s="376"/>
      <c r="E682" s="359"/>
      <c r="F682" s="359"/>
    </row>
    <row r="683" spans="2:6">
      <c r="B683" s="1292" t="s">
        <v>401</v>
      </c>
      <c r="C683" s="1292"/>
      <c r="D683" s="1292"/>
      <c r="E683" s="1292"/>
      <c r="F683" s="1292"/>
    </row>
    <row r="684" spans="2:6">
      <c r="B684" s="8"/>
      <c r="C684" s="359"/>
      <c r="D684" s="376"/>
      <c r="E684" s="359"/>
      <c r="F684" s="359"/>
    </row>
    <row r="685" spans="2:6" ht="13.5" thickBot="1">
      <c r="B685" s="467" t="s">
        <v>402</v>
      </c>
      <c r="C685" s="468">
        <v>0.1</v>
      </c>
      <c r="D685" s="469"/>
      <c r="E685" s="469"/>
      <c r="F685" s="470"/>
    </row>
    <row r="686" spans="2:6" ht="13.5" thickTop="1">
      <c r="B686" s="417" t="s">
        <v>219</v>
      </c>
      <c r="C686" s="418">
        <v>1.05</v>
      </c>
      <c r="D686" s="419" t="s">
        <v>23</v>
      </c>
      <c r="E686" s="420">
        <f>F60</f>
        <v>4455.62</v>
      </c>
      <c r="F686" s="476">
        <f>ROUND(C686*E686,2)</f>
        <v>4678.3999999999996</v>
      </c>
    </row>
    <row r="687" spans="2:6">
      <c r="B687" s="421" t="s">
        <v>164</v>
      </c>
      <c r="C687" s="422">
        <v>2.31</v>
      </c>
      <c r="D687" s="423" t="s">
        <v>27</v>
      </c>
      <c r="E687" s="424">
        <f>F172</f>
        <v>2745.66</v>
      </c>
      <c r="F687" s="383">
        <f>ROUND(C687*E687,2)</f>
        <v>6342.47</v>
      </c>
    </row>
    <row r="688" spans="2:6">
      <c r="B688" s="425" t="s">
        <v>195</v>
      </c>
      <c r="C688" s="426">
        <f>ROUND(1/C685,2)</f>
        <v>10</v>
      </c>
      <c r="D688" s="427" t="s">
        <v>89</v>
      </c>
      <c r="E688" s="428">
        <v>185</v>
      </c>
      <c r="F688" s="383">
        <f>ROUND(C688*E688,2)</f>
        <v>1850</v>
      </c>
    </row>
    <row r="689" spans="2:6" ht="13.5" thickBot="1">
      <c r="B689" s="429"/>
      <c r="C689" s="430"/>
      <c r="D689" s="430"/>
      <c r="E689" s="431" t="s">
        <v>192</v>
      </c>
      <c r="F689" s="432">
        <f>SUM(F686:F688)</f>
        <v>12870.87</v>
      </c>
    </row>
    <row r="690" spans="2:6" ht="13.5" thickTop="1">
      <c r="B690" s="8"/>
      <c r="C690" s="359"/>
      <c r="D690" s="376"/>
      <c r="E690" s="359"/>
      <c r="F690" s="359"/>
    </row>
    <row r="691" spans="2:6" ht="26.25" thickBot="1">
      <c r="B691" s="466" t="s">
        <v>403</v>
      </c>
      <c r="C691" s="359">
        <f>((0.3+0.2)*0.15)/2</f>
        <v>0.04</v>
      </c>
      <c r="D691" s="377" t="s">
        <v>65</v>
      </c>
      <c r="E691" s="359"/>
      <c r="F691" s="359"/>
    </row>
    <row r="692" spans="2:6" ht="13.5" thickTop="1">
      <c r="B692" s="417" t="s">
        <v>194</v>
      </c>
      <c r="C692" s="418">
        <v>1.05</v>
      </c>
      <c r="D692" s="419" t="s">
        <v>23</v>
      </c>
      <c r="E692" s="420">
        <f>F50</f>
        <v>4962.82</v>
      </c>
      <c r="F692" s="476">
        <f>ROUND(C692*E692,2)</f>
        <v>5210.96</v>
      </c>
    </row>
    <row r="693" spans="2:6">
      <c r="B693" s="421" t="s">
        <v>164</v>
      </c>
      <c r="C693" s="422">
        <v>4.3600000000000003</v>
      </c>
      <c r="D693" s="423" t="s">
        <v>27</v>
      </c>
      <c r="E693" s="424">
        <f>F166</f>
        <v>2600.5500000000002</v>
      </c>
      <c r="F693" s="383">
        <f>ROUND(C693*E693,2)</f>
        <v>11338.4</v>
      </c>
    </row>
    <row r="694" spans="2:6">
      <c r="B694" s="425" t="s">
        <v>356</v>
      </c>
      <c r="C694" s="426">
        <v>20</v>
      </c>
      <c r="D694" s="427" t="s">
        <v>89</v>
      </c>
      <c r="E694" s="428">
        <v>80.55</v>
      </c>
      <c r="F694" s="383">
        <f>ROUND(C694*E694,2)</f>
        <v>1611</v>
      </c>
    </row>
    <row r="695" spans="2:6">
      <c r="B695" s="425" t="s">
        <v>195</v>
      </c>
      <c r="C695" s="426">
        <f>ROUND(1/C691,2)</f>
        <v>25</v>
      </c>
      <c r="D695" s="427" t="s">
        <v>89</v>
      </c>
      <c r="E695" s="428">
        <v>250</v>
      </c>
      <c r="F695" s="383">
        <f>ROUND(C695*E695,2)</f>
        <v>6250</v>
      </c>
    </row>
    <row r="696" spans="2:6" ht="13.5" thickBot="1">
      <c r="B696" s="429"/>
      <c r="C696" s="430"/>
      <c r="D696" s="430"/>
      <c r="E696" s="431" t="s">
        <v>192</v>
      </c>
      <c r="F696" s="432">
        <f>SUM(F692:F695)</f>
        <v>24410.36</v>
      </c>
    </row>
    <row r="697" spans="2:6" ht="13.5" thickTop="1">
      <c r="B697" s="8"/>
      <c r="C697" s="359"/>
      <c r="D697" s="376"/>
      <c r="E697" s="359"/>
      <c r="F697" s="359"/>
    </row>
    <row r="698" spans="2:6" ht="13.5" thickBot="1">
      <c r="B698" s="372" t="s">
        <v>404</v>
      </c>
      <c r="C698" s="378"/>
      <c r="D698" s="379"/>
      <c r="E698" s="378"/>
      <c r="F698" s="378"/>
    </row>
    <row r="699" spans="2:6" ht="13.5" thickTop="1">
      <c r="B699" s="417" t="s">
        <v>219</v>
      </c>
      <c r="C699" s="418">
        <v>1.05</v>
      </c>
      <c r="D699" s="419" t="s">
        <v>23</v>
      </c>
      <c r="E699" s="420">
        <f>F60</f>
        <v>4455.62</v>
      </c>
      <c r="F699" s="476">
        <f>ROUND(C699*E699,2)</f>
        <v>4678.3999999999996</v>
      </c>
    </row>
    <row r="700" spans="2:6">
      <c r="B700" s="421" t="s">
        <v>164</v>
      </c>
      <c r="C700" s="422">
        <v>0.74</v>
      </c>
      <c r="D700" s="423" t="s">
        <v>27</v>
      </c>
      <c r="E700" s="424">
        <f>F166</f>
        <v>2600.5500000000002</v>
      </c>
      <c r="F700" s="383">
        <f>ROUND(C700*E700,2)</f>
        <v>1924.41</v>
      </c>
    </row>
    <row r="701" spans="2:6">
      <c r="B701" s="425" t="s">
        <v>356</v>
      </c>
      <c r="C701" s="426">
        <v>8.9</v>
      </c>
      <c r="D701" s="427" t="s">
        <v>89</v>
      </c>
      <c r="E701" s="428">
        <v>80.55</v>
      </c>
      <c r="F701" s="383">
        <f>ROUND(C701*E701,2)</f>
        <v>716.9</v>
      </c>
    </row>
    <row r="702" spans="2:6" ht="13.5" thickBot="1">
      <c r="B702" s="429"/>
      <c r="C702" s="430"/>
      <c r="D702" s="430"/>
      <c r="E702" s="431" t="s">
        <v>192</v>
      </c>
      <c r="F702" s="432">
        <f>SUM(F699:F700)</f>
        <v>6602.81</v>
      </c>
    </row>
    <row r="703" spans="2:6" ht="13.5" thickTop="1">
      <c r="B703" s="8"/>
      <c r="C703" s="359"/>
      <c r="D703" s="376"/>
      <c r="E703" s="359"/>
      <c r="F703" s="359"/>
    </row>
    <row r="704" spans="2:6">
      <c r="B704" s="8" t="s">
        <v>405</v>
      </c>
      <c r="C704" s="359">
        <v>1</v>
      </c>
      <c r="D704" s="377" t="s">
        <v>65</v>
      </c>
      <c r="E704" s="359">
        <v>8809.73</v>
      </c>
      <c r="F704" s="460">
        <f>ROUND(C704*E704,2)</f>
        <v>8809.73</v>
      </c>
    </row>
    <row r="705" spans="2:10">
      <c r="B705" s="8"/>
      <c r="C705" s="359"/>
      <c r="D705" s="376"/>
      <c r="E705" s="359"/>
      <c r="F705" s="359"/>
      <c r="H705" s="3">
        <v>1186.0999999999999</v>
      </c>
    </row>
    <row r="706" spans="2:10">
      <c r="B706" s="8" t="s">
        <v>405</v>
      </c>
      <c r="C706" s="359">
        <v>1</v>
      </c>
      <c r="D706" s="377" t="s">
        <v>61</v>
      </c>
      <c r="E706" s="359">
        <v>818.75</v>
      </c>
      <c r="F706" s="460">
        <f>ROUND(C706*E706,2)</f>
        <v>818.75</v>
      </c>
      <c r="H706" s="147">
        <f>H705*41</f>
        <v>48630.1</v>
      </c>
      <c r="J706" s="3">
        <f>2.3*2.4</f>
        <v>5.5</v>
      </c>
    </row>
    <row r="707" spans="2:10">
      <c r="B707" s="8"/>
      <c r="C707" s="359"/>
      <c r="D707" s="376"/>
      <c r="E707" s="359"/>
      <c r="F707" s="359"/>
      <c r="H707" s="362">
        <f>H706/J706</f>
        <v>8841.84</v>
      </c>
    </row>
    <row r="708" spans="2:10" ht="13.5" thickBot="1">
      <c r="B708" s="495" t="s">
        <v>406</v>
      </c>
      <c r="C708" s="496"/>
      <c r="D708" s="497"/>
      <c r="E708" s="496"/>
      <c r="F708" s="496"/>
      <c r="H708" s="362">
        <f>H707/10.76</f>
        <v>821.73</v>
      </c>
    </row>
    <row r="709" spans="2:10" ht="13.5" thickTop="1">
      <c r="B709" s="498" t="s">
        <v>407</v>
      </c>
      <c r="C709" s="499">
        <v>1</v>
      </c>
      <c r="D709" s="500" t="s">
        <v>65</v>
      </c>
      <c r="E709" s="499">
        <v>32.39</v>
      </c>
      <c r="F709" s="501">
        <f>ROUND(C709*E709,2)</f>
        <v>32.39</v>
      </c>
    </row>
    <row r="710" spans="2:10">
      <c r="B710" s="502" t="s">
        <v>408</v>
      </c>
      <c r="C710" s="503">
        <v>3.15E-2</v>
      </c>
      <c r="D710" s="504" t="s">
        <v>23</v>
      </c>
      <c r="E710" s="505">
        <v>3500</v>
      </c>
      <c r="F710" s="506">
        <f t="shared" ref="F710:F715" si="9">ROUND(C710*E710,2)</f>
        <v>110.25</v>
      </c>
    </row>
    <row r="711" spans="2:10">
      <c r="B711" s="502" t="s">
        <v>409</v>
      </c>
      <c r="C711" s="505">
        <v>1.1000000000000001</v>
      </c>
      <c r="D711" s="504" t="s">
        <v>127</v>
      </c>
      <c r="E711" s="505">
        <v>400</v>
      </c>
      <c r="F711" s="506">
        <f t="shared" si="9"/>
        <v>440</v>
      </c>
    </row>
    <row r="712" spans="2:10">
      <c r="B712" s="502" t="s">
        <v>410</v>
      </c>
      <c r="C712" s="505">
        <v>3.33</v>
      </c>
      <c r="D712" s="504" t="s">
        <v>127</v>
      </c>
      <c r="E712" s="505">
        <v>30</v>
      </c>
      <c r="F712" s="506">
        <f t="shared" si="9"/>
        <v>99.9</v>
      </c>
    </row>
    <row r="713" spans="2:10">
      <c r="B713" s="507" t="s">
        <v>411</v>
      </c>
      <c r="C713" s="503">
        <v>3.44E-2</v>
      </c>
      <c r="D713" s="504" t="s">
        <v>20</v>
      </c>
      <c r="E713" s="505">
        <f>F13</f>
        <v>250</v>
      </c>
      <c r="F713" s="506">
        <f t="shared" si="9"/>
        <v>8.6</v>
      </c>
    </row>
    <row r="714" spans="2:10">
      <c r="B714" s="507" t="s">
        <v>412</v>
      </c>
      <c r="C714" s="505">
        <v>1</v>
      </c>
      <c r="D714" s="504" t="s">
        <v>65</v>
      </c>
      <c r="E714" s="505">
        <v>119.88</v>
      </c>
      <c r="F714" s="506">
        <f t="shared" si="9"/>
        <v>119.88</v>
      </c>
    </row>
    <row r="715" spans="2:10">
      <c r="B715" s="507" t="s">
        <v>413</v>
      </c>
      <c r="C715" s="505">
        <v>1</v>
      </c>
      <c r="D715" s="504" t="s">
        <v>65</v>
      </c>
      <c r="E715" s="508">
        <v>114</v>
      </c>
      <c r="F715" s="506">
        <f t="shared" si="9"/>
        <v>114</v>
      </c>
    </row>
    <row r="716" spans="2:10" ht="13.5" thickBot="1">
      <c r="B716" s="509"/>
      <c r="C716" s="510"/>
      <c r="D716" s="511"/>
      <c r="E716" s="298" t="s">
        <v>43</v>
      </c>
      <c r="F716" s="512">
        <f>SUM(F709:F715)</f>
        <v>925.02</v>
      </c>
    </row>
    <row r="717" spans="2:10" ht="13.5" thickTop="1">
      <c r="B717" s="8"/>
      <c r="C717" s="359"/>
      <c r="D717" s="376"/>
      <c r="E717" s="359"/>
      <c r="F717" s="359"/>
    </row>
    <row r="718" spans="2:10" ht="13.5" thickBot="1">
      <c r="B718" s="495" t="s">
        <v>414</v>
      </c>
      <c r="C718" s="293"/>
      <c r="D718" s="294"/>
      <c r="E718" s="293"/>
      <c r="F718" s="293"/>
    </row>
    <row r="719" spans="2:10" ht="13.5" thickTop="1">
      <c r="B719" s="513" t="s">
        <v>415</v>
      </c>
      <c r="C719" s="514">
        <v>2.0999999999999999E-3</v>
      </c>
      <c r="D719" s="515" t="s">
        <v>23</v>
      </c>
      <c r="E719" s="499">
        <f>F92</f>
        <v>5023.96</v>
      </c>
      <c r="F719" s="501">
        <f>ROUND(C719*E719,2)</f>
        <v>10.55</v>
      </c>
    </row>
    <row r="720" spans="2:10">
      <c r="B720" s="516" t="s">
        <v>409</v>
      </c>
      <c r="C720" s="505">
        <v>1.1000000000000001</v>
      </c>
      <c r="D720" s="517" t="s">
        <v>127</v>
      </c>
      <c r="E720" s="505">
        <v>50</v>
      </c>
      <c r="F720" s="506">
        <f>ROUND(C720*E720,2)</f>
        <v>55</v>
      </c>
    </row>
    <row r="721" spans="2:6">
      <c r="B721" s="516" t="s">
        <v>410</v>
      </c>
      <c r="C721" s="505">
        <v>1</v>
      </c>
      <c r="D721" s="517" t="s">
        <v>127</v>
      </c>
      <c r="E721" s="505">
        <v>30</v>
      </c>
      <c r="F721" s="506">
        <f>ROUND(C721*E721,2)</f>
        <v>30</v>
      </c>
    </row>
    <row r="722" spans="2:6">
      <c r="B722" s="516" t="s">
        <v>416</v>
      </c>
      <c r="C722" s="518">
        <v>1E-3</v>
      </c>
      <c r="D722" s="517" t="s">
        <v>20</v>
      </c>
      <c r="E722" s="505">
        <f>F13</f>
        <v>250</v>
      </c>
      <c r="F722" s="506">
        <f>ROUND(C722*E722,2)</f>
        <v>0.25</v>
      </c>
    </row>
    <row r="723" spans="2:6">
      <c r="B723" s="516" t="s">
        <v>412</v>
      </c>
      <c r="C723" s="505">
        <v>1</v>
      </c>
      <c r="D723" s="517" t="s">
        <v>89</v>
      </c>
      <c r="E723" s="505">
        <v>60.51</v>
      </c>
      <c r="F723" s="506">
        <f>ROUND(C723*E723,2)</f>
        <v>60.51</v>
      </c>
    </row>
    <row r="724" spans="2:6" ht="13.5" thickBot="1">
      <c r="B724" s="519"/>
      <c r="C724" s="520"/>
      <c r="D724" s="521"/>
      <c r="E724" s="298" t="s">
        <v>43</v>
      </c>
      <c r="F724" s="522">
        <f>SUM(F719:F723)</f>
        <v>156.31</v>
      </c>
    </row>
    <row r="725" spans="2:6" ht="13.5" thickTop="1">
      <c r="B725" s="8"/>
      <c r="C725" s="359"/>
      <c r="D725" s="376"/>
      <c r="E725" s="359"/>
      <c r="F725" s="359"/>
    </row>
    <row r="726" spans="2:6" ht="13.5" thickBot="1">
      <c r="B726" s="364" t="s">
        <v>417</v>
      </c>
      <c r="C726" s="359"/>
      <c r="D726" s="376"/>
      <c r="E726" s="359"/>
      <c r="F726" s="359"/>
    </row>
    <row r="727" spans="2:6" ht="13.5" thickTop="1">
      <c r="B727" s="453" t="s">
        <v>418</v>
      </c>
      <c r="C727" s="391">
        <v>1</v>
      </c>
      <c r="D727" s="454" t="s">
        <v>23</v>
      </c>
      <c r="E727" s="391">
        <v>350</v>
      </c>
      <c r="F727" s="501">
        <f>ROUND(C727*E727,2)</f>
        <v>350</v>
      </c>
    </row>
    <row r="728" spans="2:6">
      <c r="B728" s="365" t="s">
        <v>33</v>
      </c>
      <c r="C728" s="366">
        <v>8</v>
      </c>
      <c r="D728" s="455" t="s">
        <v>29</v>
      </c>
      <c r="E728" s="366">
        <v>14</v>
      </c>
      <c r="F728" s="506">
        <f>ROUND(C728*E728,2)</f>
        <v>112</v>
      </c>
    </row>
    <row r="729" spans="2:6" ht="13.5" thickBot="1">
      <c r="B729" s="367"/>
      <c r="C729" s="368"/>
      <c r="D729" s="456"/>
      <c r="E729" s="370" t="s">
        <v>419</v>
      </c>
      <c r="F729" s="457">
        <f>SUM(F727:F728)</f>
        <v>462</v>
      </c>
    </row>
    <row r="730" spans="2:6" ht="14.25" thickTop="1" thickBot="1">
      <c r="B730" s="453"/>
      <c r="C730" s="391"/>
      <c r="D730" s="523" t="s">
        <v>420</v>
      </c>
      <c r="E730" s="524" t="s">
        <v>419</v>
      </c>
      <c r="F730" s="525">
        <v>111.58</v>
      </c>
    </row>
    <row r="731" spans="2:6" ht="14.25" thickTop="1" thickBot="1">
      <c r="B731" s="367"/>
      <c r="C731" s="368"/>
      <c r="D731" s="526" t="s">
        <v>421</v>
      </c>
      <c r="E731" s="527" t="s">
        <v>419</v>
      </c>
      <c r="F731" s="458">
        <f>SUM(F729:F730)</f>
        <v>573.58000000000004</v>
      </c>
    </row>
    <row r="732" spans="2:6" ht="13.5" thickTop="1">
      <c r="B732" s="8"/>
      <c r="C732" s="359"/>
      <c r="D732" s="376"/>
      <c r="E732" s="359"/>
      <c r="F732" s="359"/>
    </row>
    <row r="733" spans="2:6">
      <c r="B733" s="1289" t="s">
        <v>422</v>
      </c>
      <c r="C733" s="1289"/>
      <c r="D733" s="1289"/>
      <c r="E733" s="1289"/>
      <c r="F733" s="1289"/>
    </row>
    <row r="734" spans="2:6" ht="13.5" thickBot="1">
      <c r="B734" s="148" t="s">
        <v>423</v>
      </c>
      <c r="C734" s="207">
        <v>0.1</v>
      </c>
      <c r="D734" s="118"/>
      <c r="E734" s="118"/>
      <c r="F734" s="119"/>
    </row>
    <row r="735" spans="2:6" ht="13.5" thickTop="1">
      <c r="B735" s="120" t="s">
        <v>215</v>
      </c>
      <c r="C735" s="121">
        <v>1.05</v>
      </c>
      <c r="D735" s="122" t="s">
        <v>23</v>
      </c>
      <c r="E735" s="123">
        <f>F41</f>
        <v>5982.82</v>
      </c>
      <c r="F735" s="21">
        <f>ROUND(C735*E735,2)</f>
        <v>6281.96</v>
      </c>
    </row>
    <row r="736" spans="2:6">
      <c r="B736" s="124" t="s">
        <v>164</v>
      </c>
      <c r="C736" s="125">
        <v>1.0900000000000001</v>
      </c>
      <c r="D736" s="126" t="s">
        <v>27</v>
      </c>
      <c r="E736" s="127">
        <f>E325</f>
        <v>2745.66</v>
      </c>
      <c r="F736" s="344">
        <f>ROUND(C736*E736,2)</f>
        <v>2992.77</v>
      </c>
    </row>
    <row r="737" spans="2:9">
      <c r="B737" s="128" t="s">
        <v>195</v>
      </c>
      <c r="C737" s="129">
        <f>ROUND(1/C734,2)</f>
        <v>10</v>
      </c>
      <c r="D737" s="130" t="s">
        <v>89</v>
      </c>
      <c r="E737" s="131">
        <v>185</v>
      </c>
      <c r="F737" s="344">
        <f>ROUND(C737*E737,2)</f>
        <v>1850</v>
      </c>
    </row>
    <row r="738" spans="2:9" ht="13.5" thickBot="1">
      <c r="B738" s="132"/>
      <c r="C738" s="133"/>
      <c r="D738" s="133"/>
      <c r="E738" s="146" t="s">
        <v>192</v>
      </c>
      <c r="F738" s="135">
        <f>SUM(F735:F737)</f>
        <v>11124.73</v>
      </c>
    </row>
    <row r="739" spans="2:9" ht="13.5" thickTop="1">
      <c r="B739" s="8"/>
      <c r="C739" s="359"/>
      <c r="D739" s="376"/>
      <c r="E739" s="359"/>
      <c r="F739" s="359"/>
    </row>
    <row r="740" spans="2:9">
      <c r="B740" s="8"/>
      <c r="C740" s="359"/>
      <c r="D740" s="376"/>
      <c r="E740" s="359"/>
      <c r="F740" s="359"/>
    </row>
    <row r="741" spans="2:9">
      <c r="B741" s="1289" t="s">
        <v>424</v>
      </c>
      <c r="C741" s="1289"/>
      <c r="D741" s="1289"/>
      <c r="E741" s="1289"/>
      <c r="F741" s="1289"/>
    </row>
    <row r="742" spans="2:9" ht="13.5" thickBot="1">
      <c r="B742" s="148" t="s">
        <v>216</v>
      </c>
      <c r="C742" s="203"/>
      <c r="D742" s="118"/>
      <c r="E742" s="118"/>
      <c r="F742" s="119"/>
    </row>
    <row r="743" spans="2:9" ht="13.5" thickTop="1">
      <c r="B743" s="120" t="s">
        <v>215</v>
      </c>
      <c r="C743" s="121">
        <v>1.05</v>
      </c>
      <c r="D743" s="122" t="s">
        <v>23</v>
      </c>
      <c r="E743" s="123">
        <f>E735</f>
        <v>5982.82</v>
      </c>
      <c r="F743" s="21">
        <f>ROUND(C743*E743,2)</f>
        <v>6281.96</v>
      </c>
    </row>
    <row r="744" spans="2:9">
      <c r="B744" s="124" t="s">
        <v>164</v>
      </c>
      <c r="C744" s="125">
        <v>1.49</v>
      </c>
      <c r="D744" s="126" t="s">
        <v>27</v>
      </c>
      <c r="E744" s="127">
        <f>E736</f>
        <v>2745.66</v>
      </c>
      <c r="F744" s="344">
        <f>ROUND(C744*E744,2)</f>
        <v>4091.03</v>
      </c>
    </row>
    <row r="745" spans="2:9" ht="13.5" thickBot="1">
      <c r="B745" s="132"/>
      <c r="C745" s="133"/>
      <c r="D745" s="133"/>
      <c r="E745" s="146" t="s">
        <v>192</v>
      </c>
      <c r="F745" s="135">
        <f>SUM(F743:F744)</f>
        <v>10372.99</v>
      </c>
    </row>
    <row r="746" spans="2:9" ht="13.5" thickTop="1">
      <c r="B746" s="8"/>
      <c r="C746" s="359"/>
      <c r="D746" s="376"/>
      <c r="E746" s="359"/>
      <c r="F746" s="359"/>
    </row>
    <row r="747" spans="2:9">
      <c r="B747" s="1289" t="s">
        <v>425</v>
      </c>
      <c r="C747" s="1289"/>
      <c r="D747" s="1289"/>
      <c r="E747" s="1289"/>
      <c r="F747" s="1289"/>
    </row>
    <row r="748" spans="2:9" ht="13.5" thickBot="1">
      <c r="B748" s="43" t="s">
        <v>426</v>
      </c>
      <c r="C748" s="293"/>
      <c r="D748" s="294"/>
      <c r="E748" s="293"/>
      <c r="F748" s="293"/>
    </row>
    <row r="749" spans="2:9" ht="13.5" thickTop="1">
      <c r="B749" s="19" t="str">
        <f>B743</f>
        <v>H.S. 240 KG/CM2+5% DESP.</v>
      </c>
      <c r="C749" s="295">
        <v>1.05</v>
      </c>
      <c r="D749" s="167" t="s">
        <v>23</v>
      </c>
      <c r="E749" s="295">
        <f>E743</f>
        <v>5982.82</v>
      </c>
      <c r="F749" s="21">
        <f>ROUND(C749*E749,2)</f>
        <v>6281.96</v>
      </c>
    </row>
    <row r="750" spans="2:9">
      <c r="B750" s="23" t="s">
        <v>164</v>
      </c>
      <c r="C750" s="296">
        <v>8.15</v>
      </c>
      <c r="D750" s="1248" t="s">
        <v>27</v>
      </c>
      <c r="E750" s="296">
        <f>F632</f>
        <v>2013.75</v>
      </c>
      <c r="F750" s="344">
        <f>ROUND(C750*E750,2)</f>
        <v>16412.060000000001</v>
      </c>
      <c r="I750" s="304"/>
    </row>
    <row r="751" spans="2:9">
      <c r="B751" s="23" t="s">
        <v>201</v>
      </c>
      <c r="C751" s="296">
        <v>44.44</v>
      </c>
      <c r="D751" s="1248" t="s">
        <v>108</v>
      </c>
      <c r="E751" s="296">
        <v>100</v>
      </c>
      <c r="F751" s="344">
        <f>ROUND(C751*E751,2)</f>
        <v>4444</v>
      </c>
    </row>
    <row r="752" spans="2:9" ht="13.5" thickBot="1">
      <c r="B752" s="29"/>
      <c r="C752" s="297"/>
      <c r="D752" s="176"/>
      <c r="E752" s="298"/>
      <c r="F752" s="299">
        <f>SUM(F749:F751)</f>
        <v>27138.02</v>
      </c>
    </row>
    <row r="753" spans="1:10" ht="13.5" thickTop="1">
      <c r="B753" s="300" t="s">
        <v>202</v>
      </c>
      <c r="C753" s="303">
        <f>0.15*0.15*0.6</f>
        <v>1.4E-2</v>
      </c>
      <c r="D753" s="302" t="s">
        <v>23</v>
      </c>
      <c r="E753" s="301">
        <f>F752</f>
        <v>27138.02</v>
      </c>
      <c r="F753" s="305">
        <f>ROUND(C753*E753,2)</f>
        <v>379.93</v>
      </c>
    </row>
    <row r="754" spans="1:10">
      <c r="B754" s="8"/>
      <c r="C754" s="359"/>
      <c r="D754" s="376"/>
      <c r="E754" s="359"/>
      <c r="F754" s="359"/>
    </row>
    <row r="755" spans="1:10">
      <c r="B755" s="1289" t="s">
        <v>427</v>
      </c>
      <c r="C755" s="1289"/>
      <c r="D755" s="1289"/>
      <c r="E755" s="1289"/>
      <c r="F755" s="1289"/>
    </row>
    <row r="756" spans="1:10" ht="13.5" thickBot="1">
      <c r="B756" s="44" t="s">
        <v>191</v>
      </c>
      <c r="D756" s="2"/>
    </row>
    <row r="757" spans="1:10" ht="13.5" thickTop="1">
      <c r="B757" s="120" t="s">
        <v>428</v>
      </c>
      <c r="C757" s="121">
        <v>1.05</v>
      </c>
      <c r="D757" s="122" t="s">
        <v>23</v>
      </c>
      <c r="E757" s="123">
        <f>E749</f>
        <v>5982.82</v>
      </c>
      <c r="F757" s="21">
        <f>ROUND(C757*E757,2)</f>
        <v>6281.96</v>
      </c>
    </row>
    <row r="758" spans="1:10">
      <c r="B758" s="124" t="s">
        <v>164</v>
      </c>
      <c r="C758" s="125">
        <v>1.1399999999999999</v>
      </c>
      <c r="D758" s="126" t="s">
        <v>27</v>
      </c>
      <c r="E758" s="127">
        <f>E750</f>
        <v>2013.75</v>
      </c>
      <c r="F758" s="344">
        <f>ROUND(C758*E758,2)</f>
        <v>2295.6799999999998</v>
      </c>
    </row>
    <row r="759" spans="1:10" ht="13.5" thickBot="1">
      <c r="B759" s="132"/>
      <c r="C759" s="133"/>
      <c r="D759" s="133"/>
      <c r="E759" s="146" t="s">
        <v>192</v>
      </c>
      <c r="F759" s="135">
        <f>SUM(F757:F758)</f>
        <v>8577.64</v>
      </c>
    </row>
    <row r="760" spans="1:10" ht="13.5" thickTop="1">
      <c r="B760" s="8"/>
      <c r="C760" s="359"/>
      <c r="D760" s="376"/>
      <c r="E760" s="359"/>
      <c r="F760" s="359"/>
    </row>
    <row r="761" spans="1:10">
      <c r="B761" s="1289" t="s">
        <v>429</v>
      </c>
      <c r="C761" s="1289"/>
      <c r="D761" s="1289"/>
      <c r="E761" s="1289"/>
      <c r="F761" s="1289"/>
    </row>
    <row r="762" spans="1:10" ht="13.5" thickBot="1">
      <c r="A762" s="4"/>
      <c r="B762" s="530" t="s">
        <v>355</v>
      </c>
      <c r="C762" s="374"/>
      <c r="D762" s="375"/>
      <c r="E762" s="374"/>
      <c r="F762" s="374"/>
      <c r="G762" s="4"/>
      <c r="I762" s="16"/>
    </row>
    <row r="763" spans="1:10" ht="13.5" thickTop="1">
      <c r="A763" s="4"/>
      <c r="B763" s="531" t="s">
        <v>215</v>
      </c>
      <c r="C763" s="532">
        <v>1.05</v>
      </c>
      <c r="D763" s="533" t="s">
        <v>23</v>
      </c>
      <c r="E763" s="534">
        <f>E757</f>
        <v>5982.82</v>
      </c>
      <c r="F763" s="535">
        <f>ROUND(C763*E763,2)</f>
        <v>6281.96</v>
      </c>
      <c r="G763" s="4"/>
      <c r="I763" s="362">
        <f>(0.5^2*PI())/4</f>
        <v>0.2</v>
      </c>
    </row>
    <row r="764" spans="1:10">
      <c r="A764" s="4"/>
      <c r="B764" s="536" t="s">
        <v>164</v>
      </c>
      <c r="C764" s="537">
        <v>0.36</v>
      </c>
      <c r="D764" s="538" t="s">
        <v>27</v>
      </c>
      <c r="E764" s="539">
        <f>E758</f>
        <v>2013.75</v>
      </c>
      <c r="F764" s="540">
        <f>ROUND(C764*E764,2)</f>
        <v>724.95</v>
      </c>
      <c r="G764" s="4"/>
      <c r="I764" s="362">
        <f>I763*0.15</f>
        <v>0.03</v>
      </c>
      <c r="J764" s="3">
        <f>4434.56*I764</f>
        <v>133</v>
      </c>
    </row>
    <row r="765" spans="1:10">
      <c r="A765" s="4"/>
      <c r="B765" s="541" t="s">
        <v>356</v>
      </c>
      <c r="C765" s="542">
        <v>8.9</v>
      </c>
      <c r="D765" s="543" t="s">
        <v>89</v>
      </c>
      <c r="E765" s="544">
        <v>80.55</v>
      </c>
      <c r="F765" s="540">
        <f>ROUND(C765*E765,2)</f>
        <v>716.9</v>
      </c>
      <c r="G765" s="4"/>
      <c r="I765" s="362"/>
    </row>
    <row r="766" spans="1:10" ht="13.5" thickBot="1">
      <c r="A766" s="4"/>
      <c r="B766" s="449"/>
      <c r="C766" s="450"/>
      <c r="D766" s="450"/>
      <c r="E766" s="451" t="s">
        <v>192</v>
      </c>
      <c r="F766" s="452">
        <f>SUM(F763:F764)</f>
        <v>7006.91</v>
      </c>
      <c r="G766" s="4"/>
    </row>
    <row r="767" spans="1:10" ht="13.5" thickTop="1">
      <c r="B767" s="376"/>
      <c r="C767" s="446"/>
      <c r="D767" s="376"/>
      <c r="E767" s="446"/>
      <c r="F767" s="446"/>
    </row>
    <row r="768" spans="1:10">
      <c r="B768" s="1289" t="s">
        <v>430</v>
      </c>
      <c r="C768" s="1289"/>
      <c r="D768" s="1289"/>
      <c r="E768" s="1289"/>
      <c r="F768" s="1289"/>
    </row>
    <row r="769" spans="1:15" ht="13.5" thickBot="1">
      <c r="A769" s="4"/>
      <c r="B769" s="545" t="s">
        <v>430</v>
      </c>
      <c r="C769" s="546">
        <f>0.2*0.3</f>
        <v>0.06</v>
      </c>
      <c r="D769" s="447"/>
      <c r="E769" s="447"/>
      <c r="F769" s="448"/>
      <c r="G769" s="4"/>
    </row>
    <row r="770" spans="1:15" ht="13.5" thickTop="1">
      <c r="A770" s="4"/>
      <c r="B770" s="531" t="s">
        <v>215</v>
      </c>
      <c r="C770" s="532">
        <v>1.05</v>
      </c>
      <c r="D770" s="533" t="s">
        <v>23</v>
      </c>
      <c r="E770" s="534">
        <f>E763</f>
        <v>5982.82</v>
      </c>
      <c r="F770" s="535">
        <f>ROUND(C770*E770,2)</f>
        <v>6281.96</v>
      </c>
      <c r="G770" s="4"/>
    </row>
    <row r="771" spans="1:15">
      <c r="A771" s="4"/>
      <c r="B771" s="536" t="s">
        <v>164</v>
      </c>
      <c r="C771" s="537">
        <v>3.56</v>
      </c>
      <c r="D771" s="538" t="s">
        <v>27</v>
      </c>
      <c r="E771" s="539">
        <f>E764</f>
        <v>2013.75</v>
      </c>
      <c r="F771" s="540">
        <f>ROUND(C771*E771,2)</f>
        <v>7168.95</v>
      </c>
      <c r="G771" s="4"/>
    </row>
    <row r="772" spans="1:15">
      <c r="A772" s="4"/>
      <c r="B772" s="541" t="s">
        <v>356</v>
      </c>
      <c r="C772" s="542">
        <v>16.670000000000002</v>
      </c>
      <c r="D772" s="543" t="s">
        <v>89</v>
      </c>
      <c r="E772" s="544">
        <v>80.55</v>
      </c>
      <c r="F772" s="540">
        <f>ROUND(C772*E772,2)</f>
        <v>1342.77</v>
      </c>
      <c r="G772" s="4"/>
    </row>
    <row r="773" spans="1:15">
      <c r="A773" s="4"/>
      <c r="B773" s="541" t="s">
        <v>195</v>
      </c>
      <c r="C773" s="542">
        <f>ROUND(1/C769,2)</f>
        <v>16.670000000000002</v>
      </c>
      <c r="D773" s="543" t="s">
        <v>89</v>
      </c>
      <c r="E773" s="544">
        <v>250</v>
      </c>
      <c r="F773" s="540">
        <f>ROUND(C773*E773,2)</f>
        <v>4167.5</v>
      </c>
      <c r="G773" s="4"/>
    </row>
    <row r="774" spans="1:15" s="375" customFormat="1" ht="13.5" thickBot="1">
      <c r="B774" s="449"/>
      <c r="C774" s="450"/>
      <c r="D774" s="450"/>
      <c r="E774" s="451" t="s">
        <v>192</v>
      </c>
      <c r="F774" s="452">
        <f>SUM(F770:F773)</f>
        <v>18961.18</v>
      </c>
      <c r="H774" s="547"/>
      <c r="I774" s="547"/>
      <c r="J774" s="547"/>
    </row>
    <row r="775" spans="1:15" ht="13.5" thickTop="1">
      <c r="B775" s="8"/>
      <c r="C775" s="359"/>
      <c r="D775" s="376"/>
      <c r="E775" s="359"/>
      <c r="F775" s="359"/>
    </row>
    <row r="776" spans="1:15">
      <c r="B776" s="8"/>
      <c r="C776" s="359"/>
      <c r="D776" s="376"/>
      <c r="E776" s="359"/>
      <c r="F776" s="359"/>
    </row>
    <row r="777" spans="1:15">
      <c r="B777" s="1296" t="s">
        <v>77</v>
      </c>
      <c r="C777" s="1296"/>
      <c r="D777" s="1296"/>
      <c r="E777" s="1296"/>
      <c r="F777" s="1296"/>
    </row>
    <row r="778" spans="1:15" ht="12.75" customHeight="1" thickBot="1">
      <c r="A778" s="41"/>
      <c r="B778" s="44" t="s">
        <v>77</v>
      </c>
      <c r="C778" s="16"/>
      <c r="D778" s="17"/>
      <c r="E778" s="16"/>
      <c r="F778" s="16"/>
      <c r="G778" s="15"/>
      <c r="H778" s="14"/>
      <c r="I778" s="14"/>
      <c r="J778" s="14"/>
      <c r="K778" s="15"/>
      <c r="L778" s="15"/>
      <c r="M778" s="15"/>
      <c r="N778" s="15"/>
      <c r="O778" s="15"/>
    </row>
    <row r="779" spans="1:15" ht="12.75" customHeight="1" thickTop="1">
      <c r="A779" s="41"/>
      <c r="B779" s="19" t="s">
        <v>78</v>
      </c>
      <c r="C779" s="20">
        <v>0.06</v>
      </c>
      <c r="D779" s="48" t="s">
        <v>23</v>
      </c>
      <c r="E779" s="51">
        <f>E117</f>
        <v>5023.96</v>
      </c>
      <c r="F779" s="21">
        <f>ROUND(C779*E779,2)</f>
        <v>301.44</v>
      </c>
      <c r="G779" s="42"/>
      <c r="H779" s="14"/>
      <c r="I779" s="14"/>
      <c r="J779" s="14"/>
      <c r="K779" s="15"/>
      <c r="L779" s="15"/>
      <c r="M779" s="15"/>
      <c r="N779" s="15"/>
      <c r="O779" s="15"/>
    </row>
    <row r="780" spans="1:15" ht="12.75" customHeight="1">
      <c r="A780" s="41"/>
      <c r="B780" s="23" t="s">
        <v>60</v>
      </c>
      <c r="C780" s="24">
        <v>0.33</v>
      </c>
      <c r="D780" s="35" t="s">
        <v>61</v>
      </c>
      <c r="E780" s="52">
        <v>45</v>
      </c>
      <c r="F780" s="344">
        <f>ROUND(C780*E780,2)</f>
        <v>14.85</v>
      </c>
      <c r="G780" s="42"/>
      <c r="H780" s="14"/>
      <c r="I780" s="14"/>
      <c r="J780" s="14"/>
      <c r="K780" s="15"/>
      <c r="L780" s="15"/>
      <c r="M780" s="15"/>
      <c r="N780" s="15"/>
      <c r="O780" s="15"/>
    </row>
    <row r="781" spans="1:15" ht="12.75" customHeight="1">
      <c r="A781" s="41"/>
      <c r="B781" s="23" t="s">
        <v>62</v>
      </c>
      <c r="C781" s="24">
        <v>1</v>
      </c>
      <c r="D781" s="35" t="s">
        <v>63</v>
      </c>
      <c r="E781" s="52">
        <v>6</v>
      </c>
      <c r="F781" s="344">
        <f>ROUND(C781*E781,2)</f>
        <v>6</v>
      </c>
      <c r="G781" s="42"/>
      <c r="H781" s="14"/>
      <c r="I781" s="14"/>
      <c r="J781" s="14"/>
      <c r="K781" s="15"/>
      <c r="L781" s="15"/>
      <c r="M781" s="15"/>
      <c r="N781" s="15"/>
      <c r="O781" s="15"/>
    </row>
    <row r="782" spans="1:15" ht="12.75" customHeight="1">
      <c r="A782" s="41"/>
      <c r="B782" s="23" t="s">
        <v>79</v>
      </c>
      <c r="C782" s="24">
        <v>1</v>
      </c>
      <c r="D782" s="35" t="s">
        <v>63</v>
      </c>
      <c r="E782" s="52">
        <v>6</v>
      </c>
      <c r="F782" s="344">
        <f>ROUND(C782*E782,2)</f>
        <v>6</v>
      </c>
      <c r="G782" s="42"/>
      <c r="H782" s="14"/>
      <c r="I782" s="14"/>
      <c r="J782" s="14"/>
      <c r="K782" s="15"/>
      <c r="L782" s="15"/>
      <c r="M782" s="15"/>
      <c r="N782" s="15"/>
      <c r="O782" s="15"/>
    </row>
    <row r="783" spans="1:15" ht="12.75" customHeight="1">
      <c r="A783" s="41"/>
      <c r="B783" s="23" t="s">
        <v>64</v>
      </c>
      <c r="C783" s="24">
        <v>1</v>
      </c>
      <c r="D783" s="35" t="s">
        <v>65</v>
      </c>
      <c r="E783" s="52">
        <v>115.23</v>
      </c>
      <c r="F783" s="344">
        <f>ROUND(C783*E783,2)</f>
        <v>115.23</v>
      </c>
      <c r="G783" s="42"/>
      <c r="H783" s="14"/>
      <c r="I783" s="14"/>
      <c r="J783" s="14"/>
      <c r="K783" s="15"/>
      <c r="L783" s="15"/>
      <c r="M783" s="15"/>
      <c r="N783" s="15"/>
      <c r="O783" s="15"/>
    </row>
    <row r="784" spans="1:15" ht="12.75" customHeight="1" thickBot="1">
      <c r="A784" s="41"/>
      <c r="B784" s="29"/>
      <c r="C784" s="36"/>
      <c r="D784" s="79" t="s">
        <v>80</v>
      </c>
      <c r="E784" s="26" t="s">
        <v>81</v>
      </c>
      <c r="F784" s="39">
        <f>ROUND(SUM(F779:F783),2)</f>
        <v>443.52</v>
      </c>
      <c r="G784" s="53"/>
      <c r="H784" s="14"/>
      <c r="I784" s="14"/>
      <c r="J784" s="14"/>
      <c r="K784" s="15"/>
      <c r="L784" s="15"/>
      <c r="M784" s="15"/>
      <c r="N784" s="15"/>
      <c r="O784" s="15"/>
    </row>
    <row r="785" spans="1:15" ht="12.75" customHeight="1" thickTop="1">
      <c r="A785" s="41"/>
      <c r="B785" s="80" t="s">
        <v>82</v>
      </c>
      <c r="C785" s="81"/>
      <c r="D785" s="82"/>
      <c r="E785" s="83"/>
      <c r="F785" s="84">
        <f>ROUND(F784+F769,2)</f>
        <v>443.52</v>
      </c>
      <c r="G785" s="53"/>
      <c r="H785" s="14"/>
      <c r="I785" s="14"/>
      <c r="J785" s="14"/>
      <c r="K785" s="15"/>
      <c r="L785" s="15"/>
      <c r="M785" s="15"/>
      <c r="N785" s="15"/>
      <c r="O785" s="15"/>
    </row>
    <row r="786" spans="1:15" ht="12.75" customHeight="1" thickBot="1">
      <c r="A786" s="41"/>
      <c r="B786" s="60" t="s">
        <v>83</v>
      </c>
      <c r="C786" s="36">
        <f>($C$79*6*$C$117)/128</f>
        <v>0.03</v>
      </c>
      <c r="D786" s="61" t="s">
        <v>40</v>
      </c>
      <c r="E786" s="85">
        <v>330.6</v>
      </c>
      <c r="F786" s="63">
        <f>(C786*E786)+F785</f>
        <v>453.44</v>
      </c>
      <c r="G786" s="53"/>
      <c r="H786" s="14"/>
      <c r="I786" s="14"/>
      <c r="J786" s="14"/>
      <c r="K786" s="15"/>
      <c r="L786" s="15"/>
      <c r="M786" s="15"/>
      <c r="N786" s="15"/>
      <c r="O786" s="15"/>
    </row>
    <row r="787" spans="1:15" ht="12.75" customHeight="1" thickTop="1">
      <c r="A787" s="41"/>
      <c r="B787" s="86"/>
      <c r="C787" s="32"/>
      <c r="D787" s="548"/>
      <c r="E787" s="549"/>
      <c r="F787" s="550"/>
      <c r="G787" s="53"/>
      <c r="H787" s="14"/>
      <c r="I787" s="14"/>
      <c r="J787" s="14"/>
      <c r="K787" s="15"/>
      <c r="L787" s="15"/>
      <c r="M787" s="15"/>
      <c r="N787" s="15"/>
      <c r="O787" s="15"/>
    </row>
    <row r="788" spans="1:15" ht="12.75" customHeight="1">
      <c r="A788" s="41"/>
      <c r="B788" s="86"/>
      <c r="C788" s="32"/>
      <c r="D788" s="548"/>
      <c r="E788" s="549"/>
      <c r="F788" s="550"/>
      <c r="G788" s="53"/>
      <c r="H788" s="14"/>
      <c r="I788" s="14"/>
      <c r="J788" s="14"/>
      <c r="K788" s="15"/>
      <c r="L788" s="15"/>
      <c r="M788" s="15"/>
      <c r="N788" s="15"/>
      <c r="O788" s="15"/>
    </row>
    <row r="789" spans="1:15">
      <c r="B789" s="1296" t="s">
        <v>84</v>
      </c>
      <c r="C789" s="1296"/>
      <c r="D789" s="1296"/>
      <c r="E789" s="1296"/>
      <c r="F789" s="1296"/>
      <c r="G789" s="1296"/>
    </row>
    <row r="790" spans="1:15" ht="12.75" customHeight="1" thickBot="1">
      <c r="A790" s="41"/>
      <c r="B790" s="44" t="s">
        <v>84</v>
      </c>
      <c r="C790" s="16"/>
      <c r="D790" s="4"/>
      <c r="E790" s="16"/>
      <c r="F790" s="16"/>
      <c r="G790" s="15"/>
      <c r="H790" s="15"/>
      <c r="I790" s="4"/>
      <c r="J790" s="4"/>
    </row>
    <row r="791" spans="1:15" ht="12.75" customHeight="1" thickTop="1">
      <c r="A791" s="41"/>
      <c r="B791" s="19" t="s">
        <v>85</v>
      </c>
      <c r="C791" s="20">
        <v>0.06</v>
      </c>
      <c r="D791" s="34" t="s">
        <v>23</v>
      </c>
      <c r="E791" s="51">
        <f>E779</f>
        <v>5023.96</v>
      </c>
      <c r="F791" s="21">
        <f>ROUND(C791*E791,2)</f>
        <v>301.44</v>
      </c>
      <c r="G791" s="42"/>
      <c r="H791" s="15"/>
      <c r="I791" s="4"/>
      <c r="J791" s="4"/>
    </row>
    <row r="792" spans="1:15" ht="12.75" customHeight="1">
      <c r="A792" s="41"/>
      <c r="B792" s="23" t="s">
        <v>60</v>
      </c>
      <c r="C792" s="24">
        <v>0.33</v>
      </c>
      <c r="D792" s="35" t="s">
        <v>61</v>
      </c>
      <c r="E792" s="52">
        <v>45</v>
      </c>
      <c r="F792" s="344">
        <f>ROUND(C792*E792,2)</f>
        <v>14.85</v>
      </c>
      <c r="G792" s="42"/>
      <c r="H792" s="15"/>
      <c r="I792" s="4"/>
      <c r="J792" s="4"/>
    </row>
    <row r="793" spans="1:15" ht="12.75" customHeight="1">
      <c r="A793" s="41"/>
      <c r="B793" s="23" t="s">
        <v>86</v>
      </c>
      <c r="C793" s="24">
        <v>1</v>
      </c>
      <c r="D793" s="35" t="s">
        <v>63</v>
      </c>
      <c r="E793" s="52">
        <v>6</v>
      </c>
      <c r="F793" s="344">
        <f>ROUND(C793*E793,2)</f>
        <v>6</v>
      </c>
      <c r="G793" s="42"/>
      <c r="H793" s="15"/>
      <c r="I793" s="4"/>
      <c r="J793" s="4"/>
    </row>
    <row r="794" spans="1:15" ht="12.75" customHeight="1">
      <c r="A794" s="41"/>
      <c r="B794" s="23" t="s">
        <v>64</v>
      </c>
      <c r="C794" s="24">
        <v>1</v>
      </c>
      <c r="D794" s="35" t="s">
        <v>65</v>
      </c>
      <c r="E794" s="52">
        <v>100</v>
      </c>
      <c r="F794" s="344">
        <f>ROUND(C794*E794,2)</f>
        <v>100</v>
      </c>
      <c r="G794" s="42"/>
      <c r="H794" s="15"/>
      <c r="I794" s="4"/>
      <c r="J794" s="4"/>
    </row>
    <row r="795" spans="1:15" ht="12.75" customHeight="1" thickBot="1">
      <c r="A795" s="41"/>
      <c r="B795" s="29"/>
      <c r="C795" s="36"/>
      <c r="D795" s="79" t="s">
        <v>80</v>
      </c>
      <c r="E795" s="26" t="s">
        <v>81</v>
      </c>
      <c r="F795" s="39">
        <f>ROUND(SUM(F791:F794),2)</f>
        <v>422.29</v>
      </c>
      <c r="G795" s="53"/>
      <c r="H795" s="15"/>
      <c r="I795" s="4"/>
      <c r="J795" s="4"/>
    </row>
    <row r="796" spans="1:15" ht="13.5" thickTop="1">
      <c r="B796" s="8"/>
      <c r="C796" s="359"/>
      <c r="D796" s="376"/>
      <c r="E796" s="359"/>
      <c r="F796" s="359"/>
    </row>
    <row r="797" spans="1:15">
      <c r="B797" s="1297" t="s">
        <v>58</v>
      </c>
      <c r="C797" s="1297"/>
      <c r="D797" s="1297"/>
      <c r="E797" s="1297"/>
      <c r="F797" s="1297"/>
      <c r="G797" s="1297"/>
    </row>
    <row r="798" spans="1:15" ht="12.75" customHeight="1" thickBot="1">
      <c r="A798" s="41"/>
      <c r="B798" s="18" t="s">
        <v>58</v>
      </c>
      <c r="C798" s="16"/>
      <c r="D798" s="17"/>
      <c r="E798" s="16"/>
      <c r="F798" s="16"/>
      <c r="G798" s="15"/>
      <c r="H798" s="14"/>
      <c r="I798" s="14"/>
      <c r="J798" s="14"/>
      <c r="K798" s="15"/>
      <c r="L798" s="15"/>
      <c r="M798" s="15"/>
      <c r="N798" s="15"/>
      <c r="O798" s="15"/>
    </row>
    <row r="799" spans="1:15" ht="12.75" customHeight="1" thickTop="1">
      <c r="A799" s="41"/>
      <c r="B799" s="19" t="s">
        <v>59</v>
      </c>
      <c r="C799" s="20">
        <v>0.03</v>
      </c>
      <c r="D799" s="48" t="s">
        <v>23</v>
      </c>
      <c r="E799" s="51">
        <f>E95</f>
        <v>4794.42</v>
      </c>
      <c r="F799" s="21">
        <f>ROUND(C799*E799,2)</f>
        <v>143.83000000000001</v>
      </c>
      <c r="G799" s="42"/>
      <c r="H799" s="14"/>
      <c r="I799" s="14"/>
      <c r="J799" s="14"/>
      <c r="K799" s="15"/>
      <c r="L799" s="15"/>
      <c r="M799" s="15"/>
      <c r="N799" s="15"/>
      <c r="O799" s="15"/>
    </row>
    <row r="800" spans="1:15" ht="12.75" customHeight="1">
      <c r="A800" s="41"/>
      <c r="B800" s="23" t="s">
        <v>60</v>
      </c>
      <c r="C800" s="24">
        <v>0.03</v>
      </c>
      <c r="D800" s="49" t="s">
        <v>61</v>
      </c>
      <c r="E800" s="52">
        <v>45</v>
      </c>
      <c r="F800" s="344">
        <f>ROUND(C800*E800,2)</f>
        <v>1.35</v>
      </c>
      <c r="G800" s="42"/>
      <c r="H800" s="14"/>
      <c r="I800" s="14"/>
      <c r="J800" s="14"/>
      <c r="K800" s="15"/>
      <c r="L800" s="15"/>
      <c r="M800" s="15"/>
      <c r="N800" s="15"/>
      <c r="O800" s="15"/>
    </row>
    <row r="801" spans="1:15" ht="12.75" customHeight="1">
      <c r="A801" s="41"/>
      <c r="B801" s="23" t="s">
        <v>62</v>
      </c>
      <c r="C801" s="24">
        <v>1</v>
      </c>
      <c r="D801" s="49" t="s">
        <v>63</v>
      </c>
      <c r="E801" s="52">
        <v>6</v>
      </c>
      <c r="F801" s="344">
        <f>ROUND(C801*E801,2)</f>
        <v>6</v>
      </c>
      <c r="G801" s="42"/>
      <c r="H801" s="14"/>
      <c r="I801" s="14"/>
      <c r="J801" s="14"/>
      <c r="K801" s="15"/>
      <c r="L801" s="15"/>
      <c r="M801" s="15"/>
      <c r="N801" s="15"/>
      <c r="O801" s="15"/>
    </row>
    <row r="802" spans="1:15" ht="12.75" customHeight="1">
      <c r="A802" s="41"/>
      <c r="B802" s="23" t="s">
        <v>64</v>
      </c>
      <c r="C802" s="24">
        <v>1</v>
      </c>
      <c r="D802" s="49" t="s">
        <v>65</v>
      </c>
      <c r="E802" s="52">
        <v>95.62</v>
      </c>
      <c r="F802" s="344">
        <f>ROUND(C802*E802,2)</f>
        <v>95.62</v>
      </c>
      <c r="G802" s="42"/>
      <c r="H802" s="14"/>
      <c r="I802" s="14"/>
      <c r="J802" s="14"/>
      <c r="K802" s="15"/>
      <c r="L802" s="15"/>
      <c r="M802" s="15"/>
      <c r="N802" s="15"/>
      <c r="O802" s="15"/>
    </row>
    <row r="803" spans="1:15" ht="12.75" customHeight="1" thickBot="1">
      <c r="A803" s="41"/>
      <c r="B803" s="29"/>
      <c r="C803" s="36"/>
      <c r="D803" s="50"/>
      <c r="E803" s="38" t="s">
        <v>43</v>
      </c>
      <c r="F803" s="39">
        <f>ROUND(SUM(F799:F802),2)</f>
        <v>246.8</v>
      </c>
      <c r="G803" s="53"/>
      <c r="H803" s="14"/>
      <c r="I803" s="14"/>
      <c r="J803" s="14"/>
      <c r="K803" s="15"/>
      <c r="L803" s="15"/>
      <c r="M803" s="15"/>
      <c r="N803" s="15"/>
      <c r="O803" s="15"/>
    </row>
    <row r="804" spans="1:15" ht="13.5" customHeight="1" thickTop="1">
      <c r="A804" s="41"/>
      <c r="B804" s="54" t="s">
        <v>66</v>
      </c>
      <c r="C804" s="55">
        <f>($C$79*6*$C$95)/128</f>
        <v>0.01</v>
      </c>
      <c r="D804" s="56" t="s">
        <v>18</v>
      </c>
      <c r="E804" s="57">
        <v>330.6</v>
      </c>
      <c r="F804" s="58">
        <f>(C804*E804)+F803</f>
        <v>250.11</v>
      </c>
      <c r="G804" s="59"/>
      <c r="H804" s="14"/>
      <c r="I804" s="14"/>
      <c r="J804" s="14"/>
      <c r="K804" s="15"/>
      <c r="L804" s="15"/>
      <c r="M804" s="15"/>
      <c r="N804" s="15"/>
      <c r="O804" s="15"/>
    </row>
    <row r="805" spans="1:15" ht="13.5" customHeight="1" thickBot="1">
      <c r="A805" s="41"/>
      <c r="B805" s="60" t="s">
        <v>67</v>
      </c>
      <c r="C805" s="36">
        <f>($C$79*4.5*$C$95)/128</f>
        <v>0.01</v>
      </c>
      <c r="D805" s="61" t="s">
        <v>18</v>
      </c>
      <c r="E805" s="62">
        <v>749.36</v>
      </c>
      <c r="F805" s="63">
        <f>(C805*E805)+F803</f>
        <v>254.29</v>
      </c>
      <c r="G805" s="59"/>
      <c r="H805" s="14"/>
      <c r="I805" s="14"/>
      <c r="J805" s="14"/>
      <c r="K805" s="15"/>
      <c r="L805" s="15"/>
      <c r="M805" s="15"/>
      <c r="N805" s="15"/>
      <c r="O805" s="15"/>
    </row>
    <row r="806" spans="1:15" ht="13.5" customHeight="1" thickTop="1">
      <c r="A806" s="41"/>
      <c r="B806" s="86"/>
      <c r="C806" s="32"/>
      <c r="D806" s="548"/>
      <c r="E806" s="551"/>
      <c r="F806" s="550"/>
      <c r="G806" s="59"/>
      <c r="H806" s="14"/>
      <c r="I806" s="14"/>
      <c r="J806" s="14"/>
      <c r="K806" s="15"/>
      <c r="L806" s="15"/>
      <c r="M806" s="15"/>
      <c r="N806" s="15"/>
      <c r="O806" s="15"/>
    </row>
    <row r="807" spans="1:15" ht="13.5" customHeight="1">
      <c r="A807" s="41"/>
      <c r="B807" s="1296" t="s">
        <v>68</v>
      </c>
      <c r="C807" s="1296"/>
      <c r="D807" s="1296"/>
      <c r="E807" s="1296"/>
      <c r="F807" s="1296"/>
      <c r="G807" s="1296"/>
      <c r="H807" s="14"/>
      <c r="I807" s="14"/>
      <c r="J807" s="14"/>
      <c r="K807" s="15"/>
      <c r="L807" s="15"/>
      <c r="M807" s="15"/>
      <c r="N807" s="15"/>
      <c r="O807" s="15"/>
    </row>
    <row r="808" spans="1:15" ht="12.75" customHeight="1" thickBot="1">
      <c r="A808" s="41"/>
      <c r="B808" s="44" t="s">
        <v>68</v>
      </c>
      <c r="C808" s="16"/>
      <c r="D808" s="4"/>
      <c r="E808" s="16"/>
      <c r="F808" s="16"/>
      <c r="G808" s="15"/>
      <c r="H808" s="14"/>
      <c r="I808" s="14"/>
      <c r="J808" s="14"/>
      <c r="K808" s="15"/>
      <c r="L808" s="15"/>
      <c r="M808" s="15"/>
      <c r="N808" s="15"/>
      <c r="O808" s="15"/>
    </row>
    <row r="809" spans="1:15" ht="12.75" customHeight="1" thickTop="1">
      <c r="A809" s="41"/>
      <c r="B809" s="19" t="s">
        <v>69</v>
      </c>
      <c r="C809" s="20">
        <v>0.03</v>
      </c>
      <c r="D809" s="48" t="s">
        <v>23</v>
      </c>
      <c r="E809" s="51">
        <f>E799</f>
        <v>4794.42</v>
      </c>
      <c r="F809" s="21">
        <f>ROUND(C809*E809,2)</f>
        <v>143.83000000000001</v>
      </c>
      <c r="G809" s="42"/>
      <c r="H809" s="14"/>
      <c r="I809" s="14"/>
      <c r="J809" s="14"/>
      <c r="K809" s="15"/>
      <c r="L809" s="15"/>
      <c r="M809" s="15"/>
      <c r="N809" s="15"/>
      <c r="O809" s="15"/>
    </row>
    <row r="810" spans="1:15" ht="12.75" customHeight="1">
      <c r="A810" s="41"/>
      <c r="B810" s="23" t="s">
        <v>60</v>
      </c>
      <c r="C810" s="24">
        <v>0.03</v>
      </c>
      <c r="D810" s="49" t="s">
        <v>61</v>
      </c>
      <c r="E810" s="52">
        <v>45</v>
      </c>
      <c r="F810" s="344">
        <f>ROUND(C810*E810,2)</f>
        <v>1.35</v>
      </c>
      <c r="G810" s="42"/>
      <c r="H810" s="14"/>
      <c r="I810" s="14"/>
      <c r="J810" s="14"/>
      <c r="K810" s="15"/>
      <c r="L810" s="15"/>
      <c r="M810" s="15"/>
      <c r="N810" s="15"/>
      <c r="O810" s="15"/>
    </row>
    <row r="811" spans="1:15" ht="12.75" customHeight="1">
      <c r="A811" s="41"/>
      <c r="B811" s="23" t="s">
        <v>62</v>
      </c>
      <c r="C811" s="24">
        <v>1</v>
      </c>
      <c r="D811" s="49" t="s">
        <v>63</v>
      </c>
      <c r="E811" s="52">
        <v>6</v>
      </c>
      <c r="F811" s="344">
        <f>ROUND(C811*E811,2)</f>
        <v>6</v>
      </c>
      <c r="G811" s="42"/>
      <c r="H811" s="14"/>
      <c r="I811" s="14"/>
      <c r="J811" s="14"/>
      <c r="K811" s="15"/>
      <c r="L811" s="15"/>
      <c r="M811" s="15"/>
      <c r="N811" s="15"/>
      <c r="O811" s="15"/>
    </row>
    <row r="812" spans="1:15" ht="12.75" customHeight="1">
      <c r="A812" s="41"/>
      <c r="B812" s="23" t="s">
        <v>70</v>
      </c>
      <c r="C812" s="24">
        <v>0.05</v>
      </c>
      <c r="D812" s="49" t="s">
        <v>20</v>
      </c>
      <c r="E812" s="52">
        <f>F719</f>
        <v>10.55</v>
      </c>
      <c r="F812" s="344">
        <f>ROUND(C812*E812,2)</f>
        <v>0.53</v>
      </c>
      <c r="G812" s="42"/>
      <c r="H812" s="14"/>
      <c r="I812" s="14"/>
      <c r="J812" s="14"/>
      <c r="K812" s="15"/>
      <c r="L812" s="15"/>
      <c r="M812" s="15"/>
      <c r="N812" s="15"/>
      <c r="O812" s="15"/>
    </row>
    <row r="813" spans="1:15" ht="12.75" customHeight="1">
      <c r="A813" s="41"/>
      <c r="B813" s="23" t="s">
        <v>71</v>
      </c>
      <c r="C813" s="24">
        <v>1</v>
      </c>
      <c r="D813" s="49" t="s">
        <v>65</v>
      </c>
      <c r="E813" s="52">
        <v>110.26</v>
      </c>
      <c r="F813" s="344">
        <f>ROUND(C813*E813,2)</f>
        <v>110.26</v>
      </c>
      <c r="G813" s="42"/>
      <c r="H813" s="14"/>
      <c r="I813" s="14"/>
      <c r="J813" s="14"/>
      <c r="K813" s="15"/>
      <c r="L813" s="15"/>
      <c r="M813" s="15"/>
      <c r="N813" s="15"/>
      <c r="O813" s="15"/>
    </row>
    <row r="814" spans="1:15" ht="12.75" customHeight="1" thickBot="1">
      <c r="A814" s="41"/>
      <c r="B814" s="29"/>
      <c r="C814" s="36"/>
      <c r="D814" s="37"/>
      <c r="E814" s="38" t="s">
        <v>43</v>
      </c>
      <c r="F814" s="39">
        <f>ROUND(SUM(F809:F813),2)</f>
        <v>261.97000000000003</v>
      </c>
      <c r="G814" s="53"/>
      <c r="H814" s="14"/>
      <c r="I814" s="14"/>
      <c r="J814" s="14"/>
      <c r="K814" s="15"/>
      <c r="L814" s="15"/>
      <c r="M814" s="15"/>
      <c r="N814" s="15"/>
      <c r="O814" s="15"/>
    </row>
    <row r="815" spans="1:15" ht="12.75" customHeight="1" thickTop="1" thickBot="1">
      <c r="A815" s="41"/>
      <c r="B815" s="64" t="s">
        <v>72</v>
      </c>
      <c r="C815" s="65"/>
      <c r="D815" s="66"/>
      <c r="E815" s="67"/>
      <c r="F815" s="68">
        <f>ROUND(F814-F812,2)</f>
        <v>261.44</v>
      </c>
      <c r="G815" s="53"/>
      <c r="H815" s="14"/>
      <c r="I815" s="14"/>
      <c r="J815" s="14"/>
      <c r="K815" s="15"/>
      <c r="L815" s="15"/>
      <c r="M815" s="15"/>
      <c r="N815" s="15"/>
      <c r="O815" s="15"/>
    </row>
    <row r="816" spans="1:15" ht="12.75" customHeight="1" thickTop="1">
      <c r="A816" s="41"/>
      <c r="B816" s="69" t="s">
        <v>73</v>
      </c>
      <c r="C816" s="20">
        <f>($C$79*6*$C$104)/128</f>
        <v>0.01</v>
      </c>
      <c r="D816" s="70" t="s">
        <v>40</v>
      </c>
      <c r="E816" s="57">
        <v>330.6</v>
      </c>
      <c r="F816" s="71">
        <f>(C816*E816)+F815</f>
        <v>264.75</v>
      </c>
      <c r="G816" s="53"/>
      <c r="H816" s="14"/>
      <c r="I816" s="14"/>
      <c r="J816" s="14"/>
      <c r="K816" s="15"/>
      <c r="L816" s="15"/>
      <c r="M816" s="15"/>
      <c r="N816" s="15"/>
      <c r="O816" s="15"/>
    </row>
    <row r="817" spans="1:15" ht="14.25" customHeight="1">
      <c r="A817" s="41"/>
      <c r="B817" s="72" t="s">
        <v>74</v>
      </c>
      <c r="C817" s="24">
        <f>($C$79*6*$C$104)/128</f>
        <v>0.01</v>
      </c>
      <c r="D817" s="73" t="s">
        <v>40</v>
      </c>
      <c r="E817" s="74">
        <v>330.6</v>
      </c>
      <c r="F817" s="75">
        <f>(C817*E817)+F814</f>
        <v>265.27999999999997</v>
      </c>
      <c r="G817" s="76"/>
      <c r="H817" s="14"/>
      <c r="I817" s="14"/>
      <c r="J817" s="14"/>
      <c r="K817" s="15"/>
      <c r="L817" s="15"/>
      <c r="M817" s="15"/>
      <c r="N817" s="15"/>
      <c r="O817" s="15"/>
    </row>
    <row r="818" spans="1:15" ht="14.25" customHeight="1">
      <c r="A818" s="41"/>
      <c r="B818" s="72" t="s">
        <v>75</v>
      </c>
      <c r="C818" s="24">
        <f>($C$79*4.5*$C$104)/128</f>
        <v>0.01</v>
      </c>
      <c r="D818" s="73" t="s">
        <v>40</v>
      </c>
      <c r="E818" s="74">
        <v>749.36</v>
      </c>
      <c r="F818" s="75">
        <f>(C818*E818)+F815</f>
        <v>268.93</v>
      </c>
      <c r="G818" s="76"/>
      <c r="H818" s="14"/>
      <c r="I818" s="14"/>
      <c r="J818" s="14"/>
      <c r="K818" s="15"/>
      <c r="L818" s="15"/>
      <c r="M818" s="15"/>
      <c r="N818" s="15"/>
      <c r="O818" s="15"/>
    </row>
    <row r="819" spans="1:15" ht="14.25" customHeight="1" thickBot="1">
      <c r="A819" s="41"/>
      <c r="B819" s="60" t="s">
        <v>76</v>
      </c>
      <c r="C819" s="36">
        <f>($C$79*4.5*$C$104)/128</f>
        <v>0.01</v>
      </c>
      <c r="D819" s="61" t="s">
        <v>40</v>
      </c>
      <c r="E819" s="77">
        <v>749.36</v>
      </c>
      <c r="F819" s="75">
        <f>(C819*E819)+F814</f>
        <v>269.45999999999998</v>
      </c>
      <c r="G819" s="76"/>
      <c r="H819" s="14"/>
      <c r="I819" s="14"/>
      <c r="J819" s="14"/>
      <c r="K819" s="15"/>
      <c r="L819" s="15"/>
      <c r="M819" s="15"/>
      <c r="N819" s="15"/>
      <c r="O819" s="15"/>
    </row>
    <row r="820" spans="1:15" ht="9" customHeight="1" thickTop="1">
      <c r="A820" s="41"/>
      <c r="B820" s="4"/>
      <c r="C820" s="16"/>
      <c r="D820" s="17"/>
      <c r="E820" s="46"/>
      <c r="F820" s="78"/>
      <c r="G820" s="76"/>
      <c r="H820" s="14"/>
      <c r="I820" s="14"/>
      <c r="J820" s="14"/>
      <c r="K820" s="15"/>
      <c r="L820" s="15"/>
      <c r="M820" s="15"/>
      <c r="N820" s="15"/>
      <c r="O820" s="15"/>
    </row>
    <row r="821" spans="1:15" ht="9" customHeight="1">
      <c r="A821" s="41"/>
      <c r="B821" s="4"/>
      <c r="C821" s="16"/>
      <c r="D821" s="17"/>
      <c r="E821" s="46"/>
      <c r="F821" s="78"/>
      <c r="G821" s="76"/>
      <c r="H821" s="14"/>
      <c r="I821" s="14"/>
      <c r="J821" s="14"/>
      <c r="K821" s="15"/>
      <c r="L821" s="15"/>
      <c r="M821" s="15"/>
      <c r="N821" s="15"/>
      <c r="O821" s="15"/>
    </row>
    <row r="822" spans="1:15">
      <c r="B822" s="1296" t="s">
        <v>87</v>
      </c>
      <c r="C822" s="1296"/>
      <c r="D822" s="1296"/>
      <c r="E822" s="1296"/>
      <c r="F822" s="1296"/>
    </row>
    <row r="823" spans="1:15" ht="12.75" customHeight="1" thickBot="1">
      <c r="A823" s="41"/>
      <c r="B823" s="44" t="s">
        <v>87</v>
      </c>
      <c r="C823" s="16"/>
      <c r="D823" s="17"/>
      <c r="E823" s="16"/>
      <c r="F823" s="16"/>
      <c r="G823" s="15"/>
      <c r="H823" s="14"/>
      <c r="I823" s="4"/>
      <c r="J823" s="4"/>
    </row>
    <row r="824" spans="1:15" ht="12.75" customHeight="1" thickTop="1">
      <c r="A824" s="41"/>
      <c r="B824" s="19" t="s">
        <v>88</v>
      </c>
      <c r="C824" s="88">
        <v>4.3E-3</v>
      </c>
      <c r="D824" s="34" t="s">
        <v>23</v>
      </c>
      <c r="E824" s="51">
        <f>E809</f>
        <v>4794.42</v>
      </c>
      <c r="F824" s="21">
        <f>ROUND(C824*E824,2)</f>
        <v>20.62</v>
      </c>
      <c r="G824" s="42"/>
      <c r="H824" s="14"/>
      <c r="I824" s="14"/>
      <c r="J824" s="14"/>
      <c r="K824" s="15"/>
      <c r="L824" s="15"/>
      <c r="M824" s="15"/>
      <c r="N824" s="15"/>
      <c r="O824" s="15"/>
    </row>
    <row r="825" spans="1:15" ht="12.75" customHeight="1">
      <c r="A825" s="41"/>
      <c r="B825" s="23" t="s">
        <v>60</v>
      </c>
      <c r="C825" s="24">
        <v>0.11</v>
      </c>
      <c r="D825" s="35" t="s">
        <v>61</v>
      </c>
      <c r="E825" s="52">
        <v>45</v>
      </c>
      <c r="F825" s="344">
        <f>ROUND(C825*E825,2)</f>
        <v>4.95</v>
      </c>
      <c r="G825" s="42"/>
      <c r="H825" s="14"/>
      <c r="I825" s="14"/>
      <c r="J825" s="14"/>
      <c r="K825" s="15"/>
      <c r="L825" s="15"/>
      <c r="M825" s="15"/>
      <c r="N825" s="15"/>
      <c r="O825" s="15"/>
    </row>
    <row r="826" spans="1:15" ht="12.75" customHeight="1">
      <c r="A826" s="41"/>
      <c r="B826" s="23" t="s">
        <v>64</v>
      </c>
      <c r="C826" s="24">
        <v>1</v>
      </c>
      <c r="D826" s="35" t="s">
        <v>89</v>
      </c>
      <c r="E826" s="52">
        <v>35</v>
      </c>
      <c r="F826" s="344">
        <f>ROUND(C826*E826,2)</f>
        <v>35</v>
      </c>
      <c r="G826" s="42"/>
      <c r="H826" s="14"/>
      <c r="I826" s="14"/>
      <c r="J826" s="14"/>
      <c r="K826" s="15"/>
      <c r="L826" s="15"/>
      <c r="M826" s="15"/>
      <c r="N826" s="15"/>
      <c r="O826" s="15"/>
    </row>
    <row r="827" spans="1:15" ht="12.75" customHeight="1" thickBot="1">
      <c r="A827" s="41"/>
      <c r="B827" s="29"/>
      <c r="C827" s="36"/>
      <c r="D827" s="79" t="s">
        <v>80</v>
      </c>
      <c r="E827" s="38" t="s">
        <v>90</v>
      </c>
      <c r="F827" s="39">
        <f>ROUND(SUM(F824:F826),2)</f>
        <v>60.57</v>
      </c>
      <c r="G827" s="53"/>
      <c r="H827" s="14"/>
      <c r="I827" s="14"/>
      <c r="J827" s="14"/>
      <c r="K827" s="15"/>
      <c r="L827" s="15"/>
      <c r="M827" s="15"/>
      <c r="N827" s="15"/>
      <c r="O827" s="15"/>
    </row>
    <row r="828" spans="1:15" ht="12.75" customHeight="1" thickTop="1">
      <c r="A828" s="41"/>
      <c r="B828" s="31"/>
      <c r="C828" s="32"/>
      <c r="D828" s="87"/>
      <c r="E828" s="40"/>
      <c r="F828" s="40"/>
      <c r="G828" s="53"/>
      <c r="H828" s="14"/>
      <c r="I828" s="14"/>
      <c r="J828" s="14"/>
      <c r="K828" s="15"/>
      <c r="L828" s="15"/>
      <c r="M828" s="15"/>
      <c r="N828" s="15"/>
      <c r="O828" s="15"/>
    </row>
    <row r="829" spans="1:15" ht="12.75" customHeight="1">
      <c r="A829" s="41"/>
      <c r="B829" s="31"/>
      <c r="C829" s="32"/>
      <c r="D829" s="87"/>
      <c r="E829" s="40"/>
      <c r="F829" s="40"/>
      <c r="G829" s="53"/>
      <c r="H829" s="14"/>
      <c r="I829" s="14"/>
      <c r="J829" s="14"/>
      <c r="K829" s="15"/>
      <c r="L829" s="15"/>
      <c r="M829" s="15"/>
      <c r="N829" s="15"/>
      <c r="O829" s="15"/>
    </row>
    <row r="830" spans="1:15" ht="12.75" customHeight="1">
      <c r="A830" s="41"/>
      <c r="B830" s="1293" t="s">
        <v>162</v>
      </c>
      <c r="C830" s="1293"/>
      <c r="D830" s="1293"/>
      <c r="E830" s="1293"/>
      <c r="F830" s="1293"/>
      <c r="G830" s="1293"/>
      <c r="H830" s="14"/>
      <c r="I830" s="14"/>
      <c r="J830" s="14"/>
      <c r="K830" s="15"/>
      <c r="L830" s="15"/>
      <c r="M830" s="15"/>
      <c r="N830" s="15"/>
      <c r="O830" s="15"/>
    </row>
    <row r="831" spans="1:15">
      <c r="B831" s="4"/>
      <c r="C831" s="16"/>
      <c r="D831" s="373"/>
      <c r="E831" s="16"/>
      <c r="F831" s="16"/>
    </row>
    <row r="832" spans="1:15">
      <c r="B832" s="4"/>
      <c r="C832" s="16"/>
      <c r="D832" s="373"/>
      <c r="E832" s="16"/>
      <c r="F832" s="16"/>
    </row>
    <row r="833" spans="2:6" ht="15">
      <c r="B833" s="115" t="s">
        <v>162</v>
      </c>
      <c r="C833" s="116"/>
      <c r="D833" s="116"/>
      <c r="E833" s="116"/>
      <c r="F833" s="116"/>
    </row>
    <row r="834" spans="2:6" ht="13.5" thickBot="1">
      <c r="B834" s="117" t="s">
        <v>163</v>
      </c>
      <c r="C834" s="118"/>
      <c r="D834" s="118"/>
      <c r="E834" s="118"/>
      <c r="F834" s="119"/>
    </row>
    <row r="835" spans="2:6" ht="13.5" thickTop="1">
      <c r="B835" s="120" t="s">
        <v>215</v>
      </c>
      <c r="C835" s="121">
        <v>1.05</v>
      </c>
      <c r="D835" s="122" t="s">
        <v>23</v>
      </c>
      <c r="E835" s="123">
        <f>E757</f>
        <v>5982.82</v>
      </c>
      <c r="F835" s="21">
        <f>ROUND(C835*E835,2)</f>
        <v>6281.96</v>
      </c>
    </row>
    <row r="836" spans="2:6">
      <c r="B836" s="124" t="s">
        <v>164</v>
      </c>
      <c r="C836" s="125">
        <v>0.6</v>
      </c>
      <c r="D836" s="126" t="s">
        <v>27</v>
      </c>
      <c r="E836" s="127">
        <f>F793</f>
        <v>6</v>
      </c>
      <c r="F836" s="344">
        <f>ROUND(C836*E836,2)</f>
        <v>3.6</v>
      </c>
    </row>
    <row r="837" spans="2:6">
      <c r="B837" s="128" t="s">
        <v>64</v>
      </c>
      <c r="C837" s="129">
        <v>11.11</v>
      </c>
      <c r="D837" s="130" t="s">
        <v>89</v>
      </c>
      <c r="E837" s="131">
        <v>61.2</v>
      </c>
      <c r="F837" s="344">
        <f>ROUND(C837*E837,2)</f>
        <v>679.93</v>
      </c>
    </row>
    <row r="838" spans="2:6" ht="13.5" thickBot="1">
      <c r="B838" s="132"/>
      <c r="C838" s="133"/>
      <c r="D838" s="133"/>
      <c r="E838" s="134"/>
      <c r="F838" s="135">
        <f>SUM(F835:F837)</f>
        <v>6965.49</v>
      </c>
    </row>
    <row r="839" spans="2:6" ht="14.25" thickTop="1" thickBot="1">
      <c r="B839" s="136"/>
      <c r="C839" s="136"/>
      <c r="D839" s="136"/>
      <c r="E839" s="136"/>
      <c r="F839" s="137"/>
    </row>
    <row r="840" spans="2:6" ht="13.5" thickTop="1">
      <c r="B840" s="307" t="s">
        <v>165</v>
      </c>
      <c r="C840" s="308">
        <v>12</v>
      </c>
      <c r="D840" s="90" t="s">
        <v>89</v>
      </c>
      <c r="E840" s="309">
        <v>60</v>
      </c>
      <c r="F840" s="21">
        <f t="shared" ref="F840:F860" si="10">ROUND(C840*E840,2)</f>
        <v>720</v>
      </c>
    </row>
    <row r="841" spans="2:6">
      <c r="B841" s="310" t="s">
        <v>166</v>
      </c>
      <c r="C841" s="142">
        <v>6.75</v>
      </c>
      <c r="D841" s="139" t="s">
        <v>23</v>
      </c>
      <c r="E841" s="140">
        <v>240.23</v>
      </c>
      <c r="F841" s="344">
        <f t="shared" si="10"/>
        <v>1621.55</v>
      </c>
    </row>
    <row r="842" spans="2:6">
      <c r="B842" s="311" t="s">
        <v>167</v>
      </c>
      <c r="C842" s="138">
        <v>3.42</v>
      </c>
      <c r="D842" s="139" t="s">
        <v>23</v>
      </c>
      <c r="E842" s="140">
        <v>70.16</v>
      </c>
      <c r="F842" s="344">
        <f t="shared" si="10"/>
        <v>239.95</v>
      </c>
    </row>
    <row r="843" spans="2:6">
      <c r="B843" s="311" t="s">
        <v>168</v>
      </c>
      <c r="C843" s="475">
        <v>4</v>
      </c>
      <c r="D843" s="139" t="s">
        <v>23</v>
      </c>
      <c r="E843" s="140">
        <v>75</v>
      </c>
      <c r="F843" s="344">
        <f t="shared" si="10"/>
        <v>300</v>
      </c>
    </row>
    <row r="844" spans="2:6">
      <c r="B844" s="311" t="s">
        <v>169</v>
      </c>
      <c r="C844" s="138">
        <v>1.35</v>
      </c>
      <c r="D844" s="139" t="s">
        <v>23</v>
      </c>
      <c r="E844" s="141">
        <f>+F838</f>
        <v>6965.49</v>
      </c>
      <c r="F844" s="344">
        <f t="shared" si="10"/>
        <v>9403.41</v>
      </c>
    </row>
    <row r="845" spans="2:6">
      <c r="B845" s="311" t="s">
        <v>170</v>
      </c>
      <c r="C845" s="142">
        <v>7.2</v>
      </c>
      <c r="D845" s="139" t="s">
        <v>65</v>
      </c>
      <c r="E845" s="143">
        <v>869.1</v>
      </c>
      <c r="F845" s="344">
        <f t="shared" si="10"/>
        <v>6257.52</v>
      </c>
    </row>
    <row r="846" spans="2:6">
      <c r="B846" s="311" t="s">
        <v>171</v>
      </c>
      <c r="C846" s="142">
        <v>12</v>
      </c>
      <c r="D846" s="139" t="s">
        <v>108</v>
      </c>
      <c r="E846" s="143">
        <f>(F711*0.09)/12</f>
        <v>3.3</v>
      </c>
      <c r="F846" s="344">
        <f t="shared" si="10"/>
        <v>39.6</v>
      </c>
    </row>
    <row r="847" spans="2:6">
      <c r="B847" s="310" t="s">
        <v>172</v>
      </c>
      <c r="C847" s="142">
        <v>4</v>
      </c>
      <c r="D847" s="139" t="s">
        <v>127</v>
      </c>
      <c r="E847" s="323">
        <v>504.6</v>
      </c>
      <c r="F847" s="344">
        <f t="shared" si="10"/>
        <v>2018.4</v>
      </c>
    </row>
    <row r="848" spans="2:6">
      <c r="B848" s="311" t="s">
        <v>173</v>
      </c>
      <c r="C848" s="142">
        <v>2</v>
      </c>
      <c r="D848" s="139" t="s">
        <v>127</v>
      </c>
      <c r="E848" s="323">
        <v>609</v>
      </c>
      <c r="F848" s="344">
        <f t="shared" si="10"/>
        <v>1218</v>
      </c>
    </row>
    <row r="849" spans="2:6">
      <c r="B849" s="310" t="s">
        <v>174</v>
      </c>
      <c r="C849" s="142">
        <v>21.6</v>
      </c>
      <c r="D849" s="139" t="s">
        <v>65</v>
      </c>
      <c r="E849" s="323">
        <v>204.05</v>
      </c>
      <c r="F849" s="344">
        <f t="shared" si="10"/>
        <v>4407.4799999999996</v>
      </c>
    </row>
    <row r="850" spans="2:6">
      <c r="B850" s="311" t="s">
        <v>175</v>
      </c>
      <c r="C850" s="142">
        <v>2</v>
      </c>
      <c r="D850" s="139" t="s">
        <v>127</v>
      </c>
      <c r="E850" s="143">
        <v>38</v>
      </c>
      <c r="F850" s="344">
        <f t="shared" si="10"/>
        <v>76</v>
      </c>
    </row>
    <row r="851" spans="2:6">
      <c r="B851" s="311" t="s">
        <v>176</v>
      </c>
      <c r="C851" s="142">
        <v>3</v>
      </c>
      <c r="D851" s="139" t="s">
        <v>127</v>
      </c>
      <c r="E851" s="323">
        <v>52.2</v>
      </c>
      <c r="F851" s="344">
        <f t="shared" si="10"/>
        <v>156.6</v>
      </c>
    </row>
    <row r="852" spans="2:6">
      <c r="B852" s="310" t="s">
        <v>177</v>
      </c>
      <c r="C852" s="142">
        <v>4</v>
      </c>
      <c r="D852" s="139" t="s">
        <v>127</v>
      </c>
      <c r="E852" s="323">
        <v>168.2</v>
      </c>
      <c r="F852" s="344">
        <f t="shared" si="10"/>
        <v>672.8</v>
      </c>
    </row>
    <row r="853" spans="2:6">
      <c r="B853" s="311" t="s">
        <v>178</v>
      </c>
      <c r="C853" s="142">
        <v>72</v>
      </c>
      <c r="D853" s="139" t="s">
        <v>108</v>
      </c>
      <c r="E853" s="140">
        <v>9.3000000000000007</v>
      </c>
      <c r="F853" s="344">
        <f t="shared" si="10"/>
        <v>669.6</v>
      </c>
    </row>
    <row r="854" spans="2:6">
      <c r="B854" s="310" t="s">
        <v>179</v>
      </c>
      <c r="C854" s="142">
        <v>1</v>
      </c>
      <c r="D854" s="139" t="s">
        <v>115</v>
      </c>
      <c r="E854" s="143">
        <v>27.6</v>
      </c>
      <c r="F854" s="344">
        <f t="shared" si="10"/>
        <v>27.6</v>
      </c>
    </row>
    <row r="855" spans="2:6">
      <c r="B855" s="311" t="s">
        <v>180</v>
      </c>
      <c r="C855" s="142">
        <v>10.08</v>
      </c>
      <c r="D855" s="139" t="s">
        <v>65</v>
      </c>
      <c r="E855" s="143">
        <v>255.39</v>
      </c>
      <c r="F855" s="344">
        <f t="shared" si="10"/>
        <v>2574.33</v>
      </c>
    </row>
    <row r="856" spans="2:6">
      <c r="B856" s="311" t="s">
        <v>181</v>
      </c>
      <c r="C856" s="142">
        <v>34.200000000000003</v>
      </c>
      <c r="D856" s="139" t="s">
        <v>65</v>
      </c>
      <c r="E856" s="143">
        <v>130.5</v>
      </c>
      <c r="F856" s="344">
        <f t="shared" si="10"/>
        <v>4463.1000000000004</v>
      </c>
    </row>
    <row r="857" spans="2:6">
      <c r="B857" s="311" t="s">
        <v>182</v>
      </c>
      <c r="C857" s="142">
        <v>2</v>
      </c>
      <c r="D857" s="139" t="s">
        <v>127</v>
      </c>
      <c r="E857" s="323">
        <v>214.6</v>
      </c>
      <c r="F857" s="344">
        <f t="shared" si="10"/>
        <v>429.2</v>
      </c>
    </row>
    <row r="858" spans="2:6">
      <c r="B858" s="311" t="s">
        <v>183</v>
      </c>
      <c r="C858" s="142">
        <v>6</v>
      </c>
      <c r="D858" s="139" t="s">
        <v>127</v>
      </c>
      <c r="E858" s="323">
        <v>27.84</v>
      </c>
      <c r="F858" s="344">
        <f t="shared" si="10"/>
        <v>167.04</v>
      </c>
    </row>
    <row r="859" spans="2:6">
      <c r="B859" s="311" t="s">
        <v>64</v>
      </c>
      <c r="C859" s="142">
        <v>12</v>
      </c>
      <c r="D859" s="139" t="s">
        <v>108</v>
      </c>
      <c r="E859" s="143">
        <v>259.8</v>
      </c>
      <c r="F859" s="344">
        <f t="shared" si="10"/>
        <v>3117.6</v>
      </c>
    </row>
    <row r="860" spans="2:6">
      <c r="B860" s="311" t="s">
        <v>184</v>
      </c>
      <c r="C860" s="142">
        <v>12.6</v>
      </c>
      <c r="D860" s="139" t="s">
        <v>65</v>
      </c>
      <c r="E860" s="143">
        <v>130.5</v>
      </c>
      <c r="F860" s="344">
        <f t="shared" si="10"/>
        <v>1644.3</v>
      </c>
    </row>
    <row r="861" spans="2:6">
      <c r="B861" s="312" t="s">
        <v>185</v>
      </c>
      <c r="C861" s="144"/>
      <c r="D861" s="144"/>
      <c r="E861" s="145"/>
      <c r="F861" s="313">
        <f>SUM(F840:F860)</f>
        <v>40224.080000000002</v>
      </c>
    </row>
    <row r="862" spans="2:6" ht="13.5" thickBot="1">
      <c r="B862" s="314" t="s">
        <v>186</v>
      </c>
      <c r="C862" s="315"/>
      <c r="D862" s="316"/>
      <c r="E862" s="146" t="s">
        <v>187</v>
      </c>
      <c r="F862" s="317">
        <f>ROUND(F861/12,2)</f>
        <v>3352.01</v>
      </c>
    </row>
    <row r="863" spans="2:6" ht="13.5" thickTop="1">
      <c r="B863" s="19" t="s">
        <v>188</v>
      </c>
      <c r="C863" s="20">
        <v>3</v>
      </c>
      <c r="D863" s="167" t="s">
        <v>127</v>
      </c>
      <c r="E863" s="20">
        <f>F889</f>
        <v>2327.6999999999998</v>
      </c>
      <c r="F863" s="344">
        <f>ROUND(C863*E863,2)</f>
        <v>6983.1</v>
      </c>
    </row>
    <row r="864" spans="2:6">
      <c r="B864" s="312" t="s">
        <v>189</v>
      </c>
      <c r="C864" s="318"/>
      <c r="D864" s="319"/>
      <c r="E864" s="318"/>
      <c r="F864" s="320">
        <f>F861+F863</f>
        <v>47207.18</v>
      </c>
    </row>
    <row r="865" spans="2:9" ht="13.5" thickBot="1">
      <c r="B865" s="314" t="s">
        <v>190</v>
      </c>
      <c r="C865" s="321"/>
      <c r="D865" s="322"/>
      <c r="E865" s="321"/>
      <c r="F865" s="552">
        <f>ROUND(F864/12,2)</f>
        <v>3933.93</v>
      </c>
    </row>
    <row r="866" spans="2:9" ht="13.5" thickTop="1">
      <c r="B866" s="4"/>
      <c r="C866" s="16"/>
      <c r="D866" s="373"/>
      <c r="E866" s="16"/>
      <c r="F866" s="16"/>
    </row>
    <row r="867" spans="2:9" ht="13.5" thickBot="1">
      <c r="B867" s="44" t="s">
        <v>431</v>
      </c>
      <c r="D867" s="2"/>
    </row>
    <row r="868" spans="2:9" ht="13.5" thickTop="1">
      <c r="B868" s="120" t="s">
        <v>215</v>
      </c>
      <c r="C868" s="121">
        <v>1.05</v>
      </c>
      <c r="D868" s="122" t="s">
        <v>23</v>
      </c>
      <c r="E868" s="123">
        <f>E835</f>
        <v>5982.82</v>
      </c>
      <c r="F868" s="21">
        <f>ROUND(C868*E868,2)</f>
        <v>6281.96</v>
      </c>
    </row>
    <row r="869" spans="2:9">
      <c r="B869" s="124" t="s">
        <v>164</v>
      </c>
      <c r="C869" s="125">
        <v>0.87</v>
      </c>
      <c r="D869" s="126" t="s">
        <v>27</v>
      </c>
      <c r="E869" s="127">
        <f>[18]ANALISIS!$E$275</f>
        <v>2645.66</v>
      </c>
      <c r="F869" s="344">
        <f>ROUND(C869*E869,2)</f>
        <v>2301.7199999999998</v>
      </c>
    </row>
    <row r="870" spans="2:9" ht="13.5" thickBot="1">
      <c r="B870" s="132"/>
      <c r="C870" s="133"/>
      <c r="D870" s="133"/>
      <c r="E870" s="146" t="s">
        <v>192</v>
      </c>
      <c r="F870" s="135">
        <f>SUM(F868:F869)</f>
        <v>8583.68</v>
      </c>
    </row>
    <row r="871" spans="2:9" ht="8.25" customHeight="1" thickTop="1">
      <c r="D871" s="2"/>
    </row>
    <row r="872" spans="2:9" ht="13.5" thickBot="1">
      <c r="B872" s="148" t="s">
        <v>432</v>
      </c>
      <c r="C872" s="118"/>
      <c r="D872" s="118"/>
      <c r="E872" s="118"/>
      <c r="F872" s="119"/>
    </row>
    <row r="873" spans="2:9" ht="13.5" thickTop="1">
      <c r="B873" s="120" t="s">
        <v>215</v>
      </c>
      <c r="C873" s="121">
        <v>1.05</v>
      </c>
      <c r="D873" s="122" t="s">
        <v>23</v>
      </c>
      <c r="E873" s="123">
        <f>E868</f>
        <v>5982.82</v>
      </c>
      <c r="F873" s="21">
        <f>ROUND(C873*E873,2)</f>
        <v>6281.96</v>
      </c>
      <c r="I873" s="147"/>
    </row>
    <row r="874" spans="2:9">
      <c r="B874" s="124" t="s">
        <v>164</v>
      </c>
      <c r="C874" s="125">
        <v>4.7</v>
      </c>
      <c r="D874" s="126" t="s">
        <v>27</v>
      </c>
      <c r="E874" s="127">
        <f>E869</f>
        <v>2645.66</v>
      </c>
      <c r="F874" s="344">
        <f>ROUND(C874*E874,2)</f>
        <v>12434.6</v>
      </c>
      <c r="I874" s="147"/>
    </row>
    <row r="875" spans="2:9">
      <c r="B875" s="128" t="s">
        <v>195</v>
      </c>
      <c r="C875" s="129">
        <v>16</v>
      </c>
      <c r="D875" s="130" t="s">
        <v>89</v>
      </c>
      <c r="E875" s="131">
        <v>325</v>
      </c>
      <c r="F875" s="344">
        <f>ROUND(C875*E875,2)</f>
        <v>5200</v>
      </c>
      <c r="I875" s="147"/>
    </row>
    <row r="876" spans="2:9" ht="13.5" thickBot="1">
      <c r="B876" s="132"/>
      <c r="C876" s="133"/>
      <c r="D876" s="133"/>
      <c r="E876" s="146" t="s">
        <v>192</v>
      </c>
      <c r="F876" s="135">
        <f>SUM(F873:F875)</f>
        <v>23916.560000000001</v>
      </c>
      <c r="I876" s="199"/>
    </row>
    <row r="877" spans="2:9" ht="13.5" thickTop="1">
      <c r="B877" s="489" t="s">
        <v>196</v>
      </c>
      <c r="C877" s="20">
        <v>0.18</v>
      </c>
      <c r="D877" s="167" t="s">
        <v>23</v>
      </c>
      <c r="E877" s="20">
        <f>F876</f>
        <v>23916.560000000001</v>
      </c>
      <c r="F877" s="490">
        <f>ROUND(C877*E877,2)</f>
        <v>4304.9799999999996</v>
      </c>
      <c r="I877" s="306"/>
    </row>
    <row r="878" spans="2:9">
      <c r="B878" s="491" t="s">
        <v>197</v>
      </c>
      <c r="C878" s="24">
        <v>0.14000000000000001</v>
      </c>
      <c r="D878" s="1248" t="s">
        <v>23</v>
      </c>
      <c r="E878" s="24">
        <f>F870</f>
        <v>8583.68</v>
      </c>
      <c r="F878" s="344">
        <f>ROUND(C878*E878,2)</f>
        <v>1201.72</v>
      </c>
      <c r="I878" s="306"/>
    </row>
    <row r="879" spans="2:9">
      <c r="B879" s="491" t="s">
        <v>145</v>
      </c>
      <c r="C879" s="24">
        <v>2.86</v>
      </c>
      <c r="D879" s="1248" t="s">
        <v>65</v>
      </c>
      <c r="E879" s="24">
        <v>255.39</v>
      </c>
      <c r="F879" s="344">
        <f>ROUND(C879*E879,2)</f>
        <v>730.42</v>
      </c>
      <c r="I879" s="306"/>
    </row>
    <row r="880" spans="2:9">
      <c r="B880" s="491" t="s">
        <v>87</v>
      </c>
      <c r="C880" s="24">
        <v>12.2</v>
      </c>
      <c r="D880" s="1248" t="s">
        <v>89</v>
      </c>
      <c r="E880" s="24">
        <v>61.8</v>
      </c>
      <c r="F880" s="344">
        <f>ROUND(C880*E880,2)</f>
        <v>753.96</v>
      </c>
      <c r="I880" s="306"/>
    </row>
    <row r="881" spans="2:9" ht="12.75" customHeight="1">
      <c r="B881" s="492" t="s">
        <v>198</v>
      </c>
      <c r="C881" s="24">
        <v>1.76</v>
      </c>
      <c r="D881" s="363" t="s">
        <v>65</v>
      </c>
      <c r="E881" s="318">
        <v>95.48</v>
      </c>
      <c r="F881" s="344">
        <f>ROUND(C881*E881,2)</f>
        <v>168.04</v>
      </c>
      <c r="I881" s="168"/>
    </row>
    <row r="882" spans="2:9" ht="12.75" customHeight="1" thickBot="1">
      <c r="B882" s="493"/>
      <c r="C882" s="321"/>
      <c r="D882" s="322"/>
      <c r="E882" s="494" t="s">
        <v>199</v>
      </c>
      <c r="F882" s="553">
        <f>SUM(F877:F881)</f>
        <v>7159.12</v>
      </c>
      <c r="I882" s="168"/>
    </row>
    <row r="883" spans="2:9" ht="12.75" customHeight="1" thickTop="1">
      <c r="D883" s="2"/>
      <c r="I883" s="168"/>
    </row>
    <row r="884" spans="2:9" ht="13.5" thickBot="1">
      <c r="B884" s="43" t="s">
        <v>433</v>
      </c>
      <c r="C884" s="293"/>
      <c r="D884" s="294"/>
      <c r="E884" s="293"/>
      <c r="F884" s="293"/>
    </row>
    <row r="885" spans="2:9" ht="13.5" thickTop="1">
      <c r="B885" s="19" t="s">
        <v>215</v>
      </c>
      <c r="C885" s="295">
        <v>1.05</v>
      </c>
      <c r="D885" s="167" t="s">
        <v>23</v>
      </c>
      <c r="E885" s="295">
        <f>E873</f>
        <v>5982.82</v>
      </c>
      <c r="F885" s="21">
        <f>ROUND(C885*E885,2)</f>
        <v>6281.96</v>
      </c>
      <c r="I885" s="3">
        <v>32</v>
      </c>
    </row>
    <row r="886" spans="2:9">
      <c r="B886" s="23" t="s">
        <v>164</v>
      </c>
      <c r="C886" s="296">
        <v>6.26</v>
      </c>
      <c r="D886" s="1248" t="s">
        <v>27</v>
      </c>
      <c r="E886" s="296">
        <f>F766</f>
        <v>7006.91</v>
      </c>
      <c r="F886" s="344">
        <f>ROUND(C886*E886,2)</f>
        <v>43863.26</v>
      </c>
      <c r="I886" s="304"/>
    </row>
    <row r="887" spans="2:9">
      <c r="B887" s="23" t="s">
        <v>201</v>
      </c>
      <c r="C887" s="296">
        <v>44.44</v>
      </c>
      <c r="D887" s="1248" t="s">
        <v>108</v>
      </c>
      <c r="E887" s="296">
        <v>250</v>
      </c>
      <c r="F887" s="344">
        <f>ROUND(C887*E887,2)</f>
        <v>11110</v>
      </c>
    </row>
    <row r="888" spans="2:9" ht="13.5" thickBot="1">
      <c r="B888" s="29"/>
      <c r="C888" s="297"/>
      <c r="D888" s="176"/>
      <c r="E888" s="298"/>
      <c r="F888" s="299">
        <f>SUM(F885:F887)</f>
        <v>61255.22</v>
      </c>
    </row>
    <row r="889" spans="2:9" ht="13.5" thickTop="1">
      <c r="B889" s="300" t="s">
        <v>202</v>
      </c>
      <c r="C889" s="303">
        <f>0.25*0.25*0.6</f>
        <v>3.7999999999999999E-2</v>
      </c>
      <c r="D889" s="302" t="s">
        <v>23</v>
      </c>
      <c r="E889" s="301">
        <f>F888</f>
        <v>61255.22</v>
      </c>
      <c r="F889" s="554">
        <f>ROUND(C889*E889,2)</f>
        <v>2327.6999999999998</v>
      </c>
    </row>
    <row r="890" spans="2:9">
      <c r="B890" s="4"/>
      <c r="C890" s="16"/>
      <c r="D890" s="373"/>
      <c r="E890" s="16"/>
      <c r="F890" s="16"/>
    </row>
    <row r="891" spans="2:9">
      <c r="B891" s="4"/>
      <c r="C891" s="16"/>
      <c r="D891" s="373"/>
      <c r="E891" s="16"/>
      <c r="F891" s="16"/>
    </row>
    <row r="892" spans="2:9" ht="15">
      <c r="B892" s="556" t="s">
        <v>434</v>
      </c>
      <c r="C892" s="557"/>
      <c r="D892" s="558"/>
      <c r="E892" s="557"/>
      <c r="F892" s="557"/>
      <c r="G892" s="559"/>
    </row>
    <row r="893" spans="2:9" ht="13.5" thickBot="1">
      <c r="B893" s="560" t="s">
        <v>435</v>
      </c>
      <c r="C893" s="561"/>
      <c r="D893" s="562"/>
      <c r="E893" s="561"/>
      <c r="F893" s="561"/>
      <c r="G893" s="559"/>
    </row>
    <row r="894" spans="2:9" ht="13.5" thickTop="1">
      <c r="B894" s="563" t="s">
        <v>436</v>
      </c>
      <c r="C894" s="564">
        <v>1.05</v>
      </c>
      <c r="D894" s="565" t="s">
        <v>23</v>
      </c>
      <c r="E894" s="564">
        <v>4966.6000000000004</v>
      </c>
      <c r="F894" s="566">
        <v>5214.93</v>
      </c>
      <c r="G894" s="559"/>
    </row>
    <row r="895" spans="2:9">
      <c r="B895" s="567" t="s">
        <v>164</v>
      </c>
      <c r="C895" s="568">
        <v>0.67</v>
      </c>
      <c r="D895" s="569" t="s">
        <v>27</v>
      </c>
      <c r="E895" s="568">
        <v>1960.4</v>
      </c>
      <c r="F895" s="570">
        <v>1235.05</v>
      </c>
      <c r="G895" s="559"/>
    </row>
    <row r="896" spans="2:9" ht="13.5" thickBot="1">
      <c r="B896" s="571"/>
      <c r="C896" s="572"/>
      <c r="D896" s="573"/>
      <c r="E896" s="574" t="s">
        <v>43</v>
      </c>
      <c r="F896" s="575">
        <v>6449.98</v>
      </c>
      <c r="G896" s="559"/>
    </row>
    <row r="897" spans="2:7" ht="13.5" thickTop="1">
      <c r="B897" s="576"/>
      <c r="C897" s="577"/>
      <c r="D897" s="576"/>
      <c r="E897" s="578"/>
      <c r="F897" s="578"/>
      <c r="G897" s="559"/>
    </row>
    <row r="898" spans="2:7" ht="13.5" thickBot="1">
      <c r="B898" s="579" t="s">
        <v>437</v>
      </c>
      <c r="C898" s="561"/>
      <c r="D898" s="562"/>
      <c r="E898" s="561"/>
      <c r="F898" s="561"/>
      <c r="G898" s="559"/>
    </row>
    <row r="899" spans="2:7" ht="13.5" thickTop="1">
      <c r="B899" s="563" t="s">
        <v>438</v>
      </c>
      <c r="C899" s="564">
        <v>1.05</v>
      </c>
      <c r="D899" s="565" t="s">
        <v>23</v>
      </c>
      <c r="E899" s="564">
        <v>4966.6000000000004</v>
      </c>
      <c r="F899" s="566">
        <v>5214.93</v>
      </c>
      <c r="G899" s="559"/>
    </row>
    <row r="900" spans="2:7">
      <c r="B900" s="567" t="s">
        <v>164</v>
      </c>
      <c r="C900" s="568">
        <v>1.06</v>
      </c>
      <c r="D900" s="569" t="s">
        <v>27</v>
      </c>
      <c r="E900" s="568">
        <v>2145.4</v>
      </c>
      <c r="F900" s="570">
        <v>2574.48</v>
      </c>
      <c r="G900" s="559"/>
    </row>
    <row r="901" spans="2:7" ht="13.5" thickBot="1">
      <c r="B901" s="571"/>
      <c r="C901" s="572"/>
      <c r="D901" s="573"/>
      <c r="E901" s="574" t="s">
        <v>43</v>
      </c>
      <c r="F901" s="575">
        <v>7789.41</v>
      </c>
      <c r="G901" s="559"/>
    </row>
    <row r="902" spans="2:7" ht="13.5" thickTop="1">
      <c r="B902" s="580"/>
      <c r="C902" s="581"/>
      <c r="D902" s="580"/>
      <c r="E902" s="581"/>
      <c r="F902" s="581"/>
      <c r="G902" s="559"/>
    </row>
    <row r="903" spans="2:7" ht="13.5" thickBot="1">
      <c r="B903" s="579" t="s">
        <v>439</v>
      </c>
      <c r="C903" s="561"/>
      <c r="D903" s="562"/>
      <c r="E903" s="561"/>
      <c r="F903" s="561"/>
      <c r="G903" s="559"/>
    </row>
    <row r="904" spans="2:7" ht="13.5" thickTop="1">
      <c r="B904" s="563" t="s">
        <v>438</v>
      </c>
      <c r="C904" s="564">
        <v>1.05</v>
      </c>
      <c r="D904" s="565" t="s">
        <v>23</v>
      </c>
      <c r="E904" s="564">
        <v>4966.6000000000004</v>
      </c>
      <c r="F904" s="566">
        <v>5214.93</v>
      </c>
      <c r="G904" s="559"/>
    </row>
    <row r="905" spans="2:7">
      <c r="B905" s="567" t="s">
        <v>164</v>
      </c>
      <c r="C905" s="568">
        <v>3.75</v>
      </c>
      <c r="D905" s="569" t="s">
        <v>27</v>
      </c>
      <c r="E905" s="568">
        <v>2145.4</v>
      </c>
      <c r="F905" s="570">
        <v>7852.16</v>
      </c>
      <c r="G905" s="559"/>
    </row>
    <row r="906" spans="2:7">
      <c r="B906" s="567" t="s">
        <v>201</v>
      </c>
      <c r="C906" s="568">
        <v>10</v>
      </c>
      <c r="D906" s="582" t="s">
        <v>65</v>
      </c>
      <c r="E906" s="568">
        <v>550</v>
      </c>
      <c r="F906" s="570">
        <v>5500</v>
      </c>
      <c r="G906" s="559"/>
    </row>
    <row r="907" spans="2:7" ht="13.5" thickBot="1">
      <c r="B907" s="571"/>
      <c r="C907" s="572"/>
      <c r="D907" s="573"/>
      <c r="E907" s="574" t="s">
        <v>43</v>
      </c>
      <c r="F907" s="575">
        <v>18567.09</v>
      </c>
      <c r="G907" s="559"/>
    </row>
    <row r="908" spans="2:7" ht="13.5" thickTop="1">
      <c r="B908" s="583"/>
      <c r="C908" s="581"/>
      <c r="D908" s="580"/>
      <c r="E908" s="581"/>
      <c r="F908" s="581"/>
      <c r="G908" s="559"/>
    </row>
    <row r="909" spans="2:7" ht="13.5" thickBot="1">
      <c r="B909" s="584" t="s">
        <v>440</v>
      </c>
      <c r="C909" s="561"/>
      <c r="D909" s="562"/>
      <c r="E909" s="561"/>
      <c r="F909" s="561"/>
      <c r="G909" s="559"/>
    </row>
    <row r="910" spans="2:7" ht="13.5" thickTop="1">
      <c r="B910" s="563" t="s">
        <v>438</v>
      </c>
      <c r="C910" s="564">
        <v>1.05</v>
      </c>
      <c r="D910" s="565" t="s">
        <v>23</v>
      </c>
      <c r="E910" s="564">
        <v>4966.6000000000004</v>
      </c>
      <c r="F910" s="566">
        <v>5214.93</v>
      </c>
      <c r="G910" s="559"/>
    </row>
    <row r="911" spans="2:7">
      <c r="B911" s="567" t="s">
        <v>164</v>
      </c>
      <c r="C911" s="568">
        <v>1.99</v>
      </c>
      <c r="D911" s="569" t="s">
        <v>27</v>
      </c>
      <c r="E911" s="568">
        <v>1960.4</v>
      </c>
      <c r="F911" s="570">
        <v>3117.04</v>
      </c>
      <c r="G911" s="559"/>
    </row>
    <row r="912" spans="2:7">
      <c r="B912" s="567" t="s">
        <v>201</v>
      </c>
      <c r="C912" s="568"/>
      <c r="D912" s="582"/>
      <c r="E912" s="568"/>
      <c r="F912" s="570"/>
      <c r="G912" s="559"/>
    </row>
    <row r="913" spans="2:7" ht="13.5" thickBot="1">
      <c r="B913" s="571"/>
      <c r="C913" s="572"/>
      <c r="D913" s="573"/>
      <c r="E913" s="574" t="s">
        <v>43</v>
      </c>
      <c r="F913" s="575">
        <v>8331.9699999999993</v>
      </c>
      <c r="G913" s="559"/>
    </row>
    <row r="914" spans="2:7" ht="13.5" thickTop="1">
      <c r="B914" s="583"/>
      <c r="C914" s="581"/>
      <c r="D914" s="580"/>
      <c r="E914" s="581"/>
      <c r="F914" s="581"/>
      <c r="G914" s="559"/>
    </row>
    <row r="915" spans="2:7" ht="13.5" thickBot="1">
      <c r="B915" s="579" t="s">
        <v>441</v>
      </c>
      <c r="C915" s="561"/>
      <c r="D915" s="562"/>
      <c r="E915" s="561"/>
      <c r="F915" s="561"/>
      <c r="G915" s="559"/>
    </row>
    <row r="916" spans="2:7" ht="13.5" thickTop="1">
      <c r="B916" s="563" t="s">
        <v>442</v>
      </c>
      <c r="C916" s="564">
        <v>1.05</v>
      </c>
      <c r="D916" s="565" t="s">
        <v>23</v>
      </c>
      <c r="E916" s="564">
        <v>4966.6000000000004</v>
      </c>
      <c r="F916" s="566">
        <v>5214.93</v>
      </c>
      <c r="G916" s="559"/>
    </row>
    <row r="917" spans="2:7">
      <c r="B917" s="567" t="s">
        <v>443</v>
      </c>
      <c r="C917" s="568">
        <v>3.91</v>
      </c>
      <c r="D917" s="569" t="s">
        <v>27</v>
      </c>
      <c r="E917" s="568">
        <v>2145.4</v>
      </c>
      <c r="F917" s="570">
        <v>15446.88</v>
      </c>
      <c r="G917" s="559"/>
    </row>
    <row r="918" spans="2:7">
      <c r="B918" s="567" t="s">
        <v>444</v>
      </c>
      <c r="C918" s="568">
        <f>1/(0.3*0.3)</f>
        <v>11.11</v>
      </c>
      <c r="D918" s="582" t="s">
        <v>108</v>
      </c>
      <c r="E918" s="568">
        <v>225</v>
      </c>
      <c r="F918" s="570">
        <v>5200</v>
      </c>
      <c r="G918" s="559"/>
    </row>
    <row r="919" spans="2:7">
      <c r="B919" s="567"/>
      <c r="C919" s="568"/>
      <c r="D919" s="585"/>
      <c r="E919" s="586" t="s">
        <v>43</v>
      </c>
      <c r="F919" s="587">
        <v>25861.81</v>
      </c>
      <c r="G919" s="559"/>
    </row>
    <row r="920" spans="2:7">
      <c r="B920" s="583"/>
      <c r="C920" s="581"/>
      <c r="D920" s="580"/>
      <c r="E920" s="581"/>
      <c r="F920" s="581"/>
      <c r="G920" s="559"/>
    </row>
    <row r="921" spans="2:7" ht="13.5" thickBot="1">
      <c r="B921" s="579" t="s">
        <v>445</v>
      </c>
      <c r="C921" s="588"/>
      <c r="D921" s="584"/>
      <c r="E921" s="588"/>
      <c r="F921" s="588"/>
      <c r="G921" s="559"/>
    </row>
    <row r="922" spans="2:7" ht="13.5" thickTop="1">
      <c r="B922" s="589" t="s">
        <v>438</v>
      </c>
      <c r="C922" s="564">
        <v>1.05</v>
      </c>
      <c r="D922" s="565" t="s">
        <v>23</v>
      </c>
      <c r="E922" s="564">
        <v>4966.6000000000004</v>
      </c>
      <c r="F922" s="566">
        <v>5214.93</v>
      </c>
      <c r="G922" s="559"/>
    </row>
    <row r="923" spans="2:7">
      <c r="B923" s="567" t="s">
        <v>164</v>
      </c>
      <c r="C923" s="568">
        <v>2.97</v>
      </c>
      <c r="D923" s="569" t="s">
        <v>27</v>
      </c>
      <c r="E923" s="568">
        <v>1960.4</v>
      </c>
      <c r="F923" s="570">
        <v>11527.15</v>
      </c>
      <c r="G923" s="559"/>
    </row>
    <row r="924" spans="2:7">
      <c r="B924" s="567" t="s">
        <v>201</v>
      </c>
      <c r="C924" s="568">
        <f>1/(0.3*0.3)</f>
        <v>11.11</v>
      </c>
      <c r="D924" s="582" t="s">
        <v>65</v>
      </c>
      <c r="E924" s="568">
        <v>375</v>
      </c>
      <c r="F924" s="570">
        <v>5200</v>
      </c>
      <c r="G924" s="559"/>
    </row>
    <row r="925" spans="2:7" ht="13.5" thickBot="1">
      <c r="B925" s="571"/>
      <c r="C925" s="572"/>
      <c r="D925" s="573"/>
      <c r="E925" s="574"/>
      <c r="F925" s="575">
        <v>21942.080000000002</v>
      </c>
      <c r="G925" s="559"/>
    </row>
    <row r="926" spans="2:7" ht="13.5" thickTop="1">
      <c r="B926" s="562"/>
      <c r="C926" s="561"/>
      <c r="D926" s="562"/>
      <c r="E926" s="561"/>
      <c r="F926" s="561"/>
      <c r="G926" s="559"/>
    </row>
    <row r="927" spans="2:7" ht="13.5" thickBot="1">
      <c r="B927" s="584" t="s">
        <v>446</v>
      </c>
      <c r="C927" s="588"/>
      <c r="D927" s="584"/>
      <c r="E927" s="588"/>
      <c r="F927" s="588"/>
      <c r="G927" s="559"/>
    </row>
    <row r="928" spans="2:7" ht="13.5" thickTop="1">
      <c r="B928" s="589" t="s">
        <v>438</v>
      </c>
      <c r="C928" s="564">
        <v>1.05</v>
      </c>
      <c r="D928" s="565" t="s">
        <v>23</v>
      </c>
      <c r="E928" s="564">
        <v>4966.6000000000004</v>
      </c>
      <c r="F928" s="566">
        <v>5214.93</v>
      </c>
      <c r="G928" s="559"/>
    </row>
    <row r="929" spans="2:7">
      <c r="B929" s="567" t="s">
        <v>164</v>
      </c>
      <c r="C929" s="568">
        <v>1.1000000000000001</v>
      </c>
      <c r="D929" s="569" t="s">
        <v>27</v>
      </c>
      <c r="E929" s="568">
        <v>2145.4</v>
      </c>
      <c r="F929" s="570">
        <v>5213.32</v>
      </c>
      <c r="G929" s="559"/>
    </row>
    <row r="930" spans="2:7">
      <c r="B930" s="567" t="s">
        <v>201</v>
      </c>
      <c r="C930" s="568">
        <f>1/0.15</f>
        <v>6.67</v>
      </c>
      <c r="D930" s="582" t="s">
        <v>108</v>
      </c>
      <c r="E930" s="568">
        <v>225</v>
      </c>
      <c r="F930" s="570">
        <v>1500</v>
      </c>
      <c r="G930" s="559"/>
    </row>
    <row r="931" spans="2:7" ht="13.5" thickBot="1">
      <c r="B931" s="571"/>
      <c r="C931" s="572"/>
      <c r="D931" s="573"/>
      <c r="E931" s="574"/>
      <c r="F931" s="575">
        <v>11928.25</v>
      </c>
      <c r="G931" s="559"/>
    </row>
    <row r="932" spans="2:7" ht="13.5" thickTop="1">
      <c r="B932" s="562"/>
      <c r="C932" s="561"/>
      <c r="D932" s="562"/>
      <c r="E932" s="561"/>
      <c r="F932" s="561"/>
      <c r="G932" s="559"/>
    </row>
    <row r="933" spans="2:7" ht="13.5" thickBot="1">
      <c r="B933" s="584" t="s">
        <v>447</v>
      </c>
      <c r="C933" s="561"/>
      <c r="D933" s="562"/>
      <c r="E933" s="561"/>
      <c r="F933" s="561"/>
      <c r="G933" s="559"/>
    </row>
    <row r="934" spans="2:7" ht="13.5" thickTop="1">
      <c r="B934" s="589" t="s">
        <v>438</v>
      </c>
      <c r="C934" s="564">
        <v>1.05</v>
      </c>
      <c r="D934" s="565" t="s">
        <v>23</v>
      </c>
      <c r="E934" s="564">
        <v>4966.6000000000004</v>
      </c>
      <c r="F934" s="566">
        <v>5214.93</v>
      </c>
      <c r="G934" s="559"/>
    </row>
    <row r="935" spans="2:7">
      <c r="B935" s="567" t="s">
        <v>164</v>
      </c>
      <c r="C935" s="568">
        <v>4.75</v>
      </c>
      <c r="D935" s="569" t="s">
        <v>27</v>
      </c>
      <c r="E935" s="568">
        <v>1960.4</v>
      </c>
      <c r="F935" s="570">
        <v>6155.66</v>
      </c>
      <c r="G935" s="559"/>
    </row>
    <row r="936" spans="2:7">
      <c r="B936" s="567" t="s">
        <v>201</v>
      </c>
      <c r="C936" s="568">
        <f>1/(0.3*0.3)</f>
        <v>11.11</v>
      </c>
      <c r="D936" s="582" t="s">
        <v>108</v>
      </c>
      <c r="E936" s="568">
        <v>250</v>
      </c>
      <c r="F936" s="570">
        <v>1562.5</v>
      </c>
      <c r="G936" s="559"/>
    </row>
    <row r="937" spans="2:7">
      <c r="B937" s="590" t="s">
        <v>448</v>
      </c>
      <c r="C937" s="568">
        <f>1/(0.3*0.3)</f>
        <v>11.11</v>
      </c>
      <c r="D937" s="592" t="s">
        <v>108</v>
      </c>
      <c r="E937" s="591">
        <v>325</v>
      </c>
      <c r="F937" s="570">
        <v>1156.25</v>
      </c>
      <c r="G937" s="559"/>
    </row>
    <row r="938" spans="2:7" ht="13.5" thickBot="1">
      <c r="B938" s="571"/>
      <c r="C938" s="572"/>
      <c r="D938" s="573"/>
      <c r="E938" s="574"/>
      <c r="F938" s="575">
        <v>14089.34</v>
      </c>
      <c r="G938" s="559"/>
    </row>
    <row r="939" spans="2:7" ht="13.5" thickTop="1">
      <c r="B939" s="593"/>
      <c r="C939" s="594"/>
      <c r="D939" s="593"/>
      <c r="E939" s="594"/>
      <c r="F939" s="594"/>
      <c r="G939" s="559"/>
    </row>
    <row r="940" spans="2:7">
      <c r="B940" s="4"/>
      <c r="C940" s="16"/>
      <c r="D940" s="373"/>
      <c r="E940" s="16"/>
      <c r="F940" s="16"/>
    </row>
    <row r="941" spans="2:7">
      <c r="B941" s="4"/>
      <c r="C941" s="16"/>
      <c r="D941" s="373"/>
      <c r="E941" s="16"/>
      <c r="F941" s="16"/>
    </row>
    <row r="942" spans="2:7">
      <c r="B942" s="807" t="s">
        <v>449</v>
      </c>
      <c r="C942" s="808"/>
      <c r="D942" s="809"/>
      <c r="E942" s="810"/>
      <c r="F942" s="811"/>
    </row>
    <row r="943" spans="2:7">
      <c r="B943" s="812" t="s">
        <v>418</v>
      </c>
      <c r="C943" s="92">
        <v>1</v>
      </c>
      <c r="D943" s="93" t="s">
        <v>23</v>
      </c>
      <c r="E943" s="813">
        <v>330</v>
      </c>
      <c r="F943" s="814">
        <f>C943*E943</f>
        <v>330</v>
      </c>
    </row>
    <row r="944" spans="2:7">
      <c r="B944" s="815" t="s">
        <v>33</v>
      </c>
      <c r="C944" s="814">
        <v>10</v>
      </c>
      <c r="D944" s="816" t="s">
        <v>29</v>
      </c>
      <c r="E944" s="814">
        <v>12</v>
      </c>
      <c r="F944" s="814">
        <f>C944*E944</f>
        <v>120</v>
      </c>
    </row>
    <row r="945" spans="2:6">
      <c r="B945" s="815"/>
      <c r="C945" s="815"/>
      <c r="D945" s="815"/>
      <c r="E945" s="817" t="s">
        <v>450</v>
      </c>
      <c r="F945" s="818">
        <f>SUM(F943:F944)</f>
        <v>450</v>
      </c>
    </row>
    <row r="946" spans="2:6">
      <c r="B946" s="108"/>
      <c r="C946" s="108"/>
      <c r="D946" s="108"/>
      <c r="E946" s="109"/>
      <c r="F946" s="110"/>
    </row>
    <row r="947" spans="2:6">
      <c r="B947" s="819" t="s">
        <v>451</v>
      </c>
      <c r="C947" s="820"/>
      <c r="D947" s="820"/>
      <c r="E947" s="821"/>
      <c r="F947" s="821"/>
    </row>
    <row r="948" spans="2:6" ht="13.5" thickBot="1">
      <c r="B948" s="822"/>
      <c r="C948" s="820"/>
      <c r="D948" s="820"/>
      <c r="E948" s="821"/>
      <c r="F948" s="821"/>
    </row>
    <row r="949" spans="2:6" ht="13.5" thickTop="1">
      <c r="B949" s="96" t="s">
        <v>452</v>
      </c>
      <c r="C949" s="823">
        <v>4.5999999999999996</v>
      </c>
      <c r="D949" s="824" t="s">
        <v>20</v>
      </c>
      <c r="E949" s="823">
        <v>250</v>
      </c>
      <c r="F949" s="825">
        <f>C949*E949</f>
        <v>1150</v>
      </c>
    </row>
    <row r="950" spans="2:6">
      <c r="B950" s="826" t="s">
        <v>453</v>
      </c>
      <c r="C950" s="827">
        <v>1</v>
      </c>
      <c r="D950" s="828" t="s">
        <v>23</v>
      </c>
      <c r="E950" s="829">
        <f>F945</f>
        <v>450</v>
      </c>
      <c r="F950" s="825">
        <f>C950*E950</f>
        <v>450</v>
      </c>
    </row>
    <row r="951" spans="2:6">
      <c r="B951" s="97" t="s">
        <v>454</v>
      </c>
      <c r="C951" s="830">
        <v>0.4</v>
      </c>
      <c r="D951" s="831" t="s">
        <v>23</v>
      </c>
      <c r="E951" s="829">
        <v>1012</v>
      </c>
      <c r="F951" s="825">
        <f>C951*E951</f>
        <v>404.8</v>
      </c>
    </row>
    <row r="952" spans="2:6">
      <c r="B952" s="97" t="s">
        <v>17</v>
      </c>
      <c r="C952" s="830">
        <v>27.62</v>
      </c>
      <c r="D952" s="832" t="s">
        <v>18</v>
      </c>
      <c r="E952" s="830">
        <v>1</v>
      </c>
      <c r="F952" s="825">
        <f>C952*E952</f>
        <v>27.62</v>
      </c>
    </row>
    <row r="953" spans="2:6">
      <c r="B953" s="97" t="s">
        <v>455</v>
      </c>
      <c r="C953" s="830">
        <v>1</v>
      </c>
      <c r="D953" s="832" t="s">
        <v>456</v>
      </c>
      <c r="E953" s="830">
        <v>45</v>
      </c>
      <c r="F953" s="825">
        <f>C953*E953</f>
        <v>45</v>
      </c>
    </row>
    <row r="954" spans="2:6">
      <c r="B954" s="98"/>
      <c r="C954" s="830"/>
      <c r="D954" s="832"/>
      <c r="E954" s="830"/>
      <c r="F954" s="825"/>
    </row>
    <row r="955" spans="2:6">
      <c r="B955" s="833" t="s">
        <v>64</v>
      </c>
      <c r="C955" s="830"/>
      <c r="D955" s="834"/>
      <c r="E955" s="830"/>
      <c r="F955" s="825"/>
    </row>
    <row r="956" spans="2:6">
      <c r="B956" s="98" t="s">
        <v>457</v>
      </c>
      <c r="C956" s="835">
        <v>1</v>
      </c>
      <c r="D956" s="836" t="s">
        <v>23</v>
      </c>
      <c r="E956" s="835">
        <v>1300</v>
      </c>
      <c r="F956" s="825">
        <f>C956*E956</f>
        <v>1300</v>
      </c>
    </row>
    <row r="957" spans="2:6" ht="13.5" thickBot="1">
      <c r="B957" s="98" t="s">
        <v>458</v>
      </c>
      <c r="C957" s="835">
        <v>0.2</v>
      </c>
      <c r="D957" s="836" t="s">
        <v>23</v>
      </c>
      <c r="E957" s="835">
        <v>500</v>
      </c>
      <c r="F957" s="837">
        <f>C957*E957</f>
        <v>100</v>
      </c>
    </row>
    <row r="958" spans="2:6" ht="14.25" thickTop="1" thickBot="1">
      <c r="B958" s="838"/>
      <c r="C958" s="839"/>
      <c r="D958" s="839"/>
      <c r="E958" s="840" t="s">
        <v>43</v>
      </c>
      <c r="F958" s="841">
        <f>SUM(F949:F957)</f>
        <v>3477.42</v>
      </c>
    </row>
    <row r="959" spans="2:6" ht="13.5" thickTop="1">
      <c r="B959" s="528"/>
      <c r="C959" s="820"/>
      <c r="D959" s="820"/>
      <c r="E959" s="821"/>
      <c r="F959" s="842"/>
    </row>
    <row r="960" spans="2:6">
      <c r="B960" s="822" t="s">
        <v>459</v>
      </c>
      <c r="C960" s="820">
        <v>0.2</v>
      </c>
      <c r="D960" s="843" t="s">
        <v>460</v>
      </c>
      <c r="E960" s="821">
        <f>F958</f>
        <v>3477.42</v>
      </c>
      <c r="F960" s="844">
        <f>ROUND(C960*E960,2)</f>
        <v>695.48</v>
      </c>
    </row>
    <row r="961" spans="2:6">
      <c r="B961" s="822" t="s">
        <v>461</v>
      </c>
      <c r="C961" s="820">
        <v>0.3</v>
      </c>
      <c r="D961" s="843" t="s">
        <v>460</v>
      </c>
      <c r="E961" s="821">
        <f>E960</f>
        <v>3477.42</v>
      </c>
      <c r="F961" s="844">
        <f>ROUND(C961*E961,2)</f>
        <v>1043.23</v>
      </c>
    </row>
    <row r="962" spans="2:6">
      <c r="B962" s="845"/>
      <c r="C962" s="845"/>
      <c r="D962" s="845"/>
      <c r="E962" s="845"/>
      <c r="F962" s="845"/>
    </row>
    <row r="963" spans="2:6">
      <c r="B963" s="845"/>
      <c r="C963" s="845"/>
      <c r="D963" s="845"/>
      <c r="E963" s="845"/>
      <c r="F963" s="845"/>
    </row>
    <row r="964" spans="2:6">
      <c r="B964" s="846" t="s">
        <v>462</v>
      </c>
      <c r="C964" s="845"/>
      <c r="D964" s="845"/>
      <c r="E964" s="845"/>
      <c r="F964" s="845"/>
    </row>
    <row r="965" spans="2:6">
      <c r="B965" s="846" t="s">
        <v>463</v>
      </c>
      <c r="C965" s="845"/>
      <c r="D965" s="845"/>
      <c r="E965" s="845"/>
      <c r="F965" s="845"/>
    </row>
    <row r="966" spans="2:6">
      <c r="B966" s="847" t="s">
        <v>464</v>
      </c>
      <c r="C966" s="848">
        <v>50.6</v>
      </c>
      <c r="D966" s="528" t="s">
        <v>465</v>
      </c>
      <c r="E966" s="849">
        <v>0.2</v>
      </c>
      <c r="F966" s="234"/>
    </row>
    <row r="967" spans="2:6">
      <c r="B967" s="850" t="s">
        <v>466</v>
      </c>
      <c r="C967" s="851">
        <f>0.8*C966</f>
        <v>40.479999999999997</v>
      </c>
      <c r="D967" s="852" t="s">
        <v>23</v>
      </c>
      <c r="E967" s="851">
        <v>158.5</v>
      </c>
      <c r="F967" s="853">
        <f>ROUND(C967*E967,2)</f>
        <v>6416.08</v>
      </c>
    </row>
    <row r="968" spans="2:6">
      <c r="B968" s="850" t="s">
        <v>467</v>
      </c>
      <c r="C968" s="851">
        <f>0.96*C966</f>
        <v>48.58</v>
      </c>
      <c r="D968" s="852" t="s">
        <v>23</v>
      </c>
      <c r="E968" s="851">
        <v>110</v>
      </c>
      <c r="F968" s="853">
        <f>ROUND(C968*E968,2)</f>
        <v>5343.8</v>
      </c>
    </row>
    <row r="969" spans="2:6">
      <c r="B969" s="850" t="s">
        <v>468</v>
      </c>
      <c r="C969" s="851">
        <f>0.08*C966</f>
        <v>4.05</v>
      </c>
      <c r="D969" s="852" t="s">
        <v>23</v>
      </c>
      <c r="E969" s="851">
        <v>1500</v>
      </c>
      <c r="F969" s="853">
        <f>ROUND(C969*E969,2)</f>
        <v>6075</v>
      </c>
    </row>
    <row r="970" spans="2:6">
      <c r="B970" s="850" t="s">
        <v>469</v>
      </c>
      <c r="C970" s="851">
        <f>0.04*C966</f>
        <v>2.02</v>
      </c>
      <c r="D970" s="852" t="s">
        <v>23</v>
      </c>
      <c r="E970" s="851">
        <f>F60</f>
        <v>4455.62</v>
      </c>
      <c r="F970" s="853">
        <f>ROUND(C970*E970,2)</f>
        <v>9000.35</v>
      </c>
    </row>
    <row r="971" spans="2:6">
      <c r="B971" s="850" t="s">
        <v>470</v>
      </c>
      <c r="C971" s="851">
        <f>1.64*C966</f>
        <v>82.98</v>
      </c>
      <c r="D971" s="852" t="s">
        <v>65</v>
      </c>
      <c r="E971" s="851">
        <f>IF(E966=0.2,F960,F961)</f>
        <v>695.48</v>
      </c>
      <c r="F971" s="853">
        <f>ROUND(C971*E971,2)</f>
        <v>57710.93</v>
      </c>
    </row>
    <row r="972" spans="2:6">
      <c r="B972" s="854"/>
      <c r="C972" s="851"/>
      <c r="D972" s="854"/>
      <c r="E972" s="817" t="s">
        <v>471</v>
      </c>
      <c r="F972" s="855">
        <f>SUM(F967:F971)</f>
        <v>84546.16</v>
      </c>
    </row>
    <row r="973" spans="2:6">
      <c r="B973" s="856"/>
      <c r="C973" s="857"/>
      <c r="D973" s="858"/>
      <c r="E973" s="817" t="s">
        <v>472</v>
      </c>
      <c r="F973" s="859">
        <f>+F972/C966</f>
        <v>1670.87</v>
      </c>
    </row>
    <row r="974" spans="2:6">
      <c r="B974" s="4"/>
      <c r="C974" s="16"/>
      <c r="D974" s="373"/>
      <c r="E974" s="16"/>
      <c r="F974" s="16"/>
    </row>
    <row r="975" spans="2:6">
      <c r="B975" s="4"/>
      <c r="C975" s="16"/>
      <c r="D975" s="373"/>
      <c r="E975" s="16"/>
      <c r="F975" s="16"/>
    </row>
    <row r="976" spans="2:6">
      <c r="B976" s="43" t="s">
        <v>473</v>
      </c>
      <c r="C976" s="860"/>
      <c r="D976" s="294"/>
      <c r="E976" s="861"/>
      <c r="F976" s="861"/>
    </row>
    <row r="977" spans="2:6" ht="13.5" thickBot="1">
      <c r="B977" s="43" t="s">
        <v>200</v>
      </c>
      <c r="C977" s="860"/>
      <c r="D977" s="294"/>
      <c r="E977" s="860"/>
      <c r="F977" s="860"/>
    </row>
    <row r="978" spans="2:6" ht="13.5" thickTop="1">
      <c r="B978" s="862" t="s">
        <v>148</v>
      </c>
      <c r="C978" s="863">
        <v>1.05</v>
      </c>
      <c r="D978" s="167" t="s">
        <v>23</v>
      </c>
      <c r="E978" s="863">
        <f>F60</f>
        <v>4455.62</v>
      </c>
      <c r="F978" s="501">
        <f>ROUND(C978*E978,2)</f>
        <v>4678.3999999999996</v>
      </c>
    </row>
    <row r="979" spans="2:6">
      <c r="B979" s="864" t="s">
        <v>164</v>
      </c>
      <c r="C979" s="865">
        <v>8.15</v>
      </c>
      <c r="D979" s="1248" t="s">
        <v>27</v>
      </c>
      <c r="E979" s="865">
        <f>F166</f>
        <v>2600.5500000000002</v>
      </c>
      <c r="F979" s="506">
        <f>ROUND(C979*E979,2)</f>
        <v>21194.48</v>
      </c>
    </row>
    <row r="980" spans="2:6">
      <c r="B980" s="864" t="s">
        <v>201</v>
      </c>
      <c r="C980" s="865">
        <v>44.44</v>
      </c>
      <c r="D980" s="1248" t="s">
        <v>89</v>
      </c>
      <c r="E980" s="865">
        <v>100</v>
      </c>
      <c r="F980" s="506">
        <f>ROUND(C980*E980,2)</f>
        <v>4444</v>
      </c>
    </row>
    <row r="981" spans="2:6" ht="13.5" thickBot="1">
      <c r="B981" s="866"/>
      <c r="C981" s="867"/>
      <c r="D981" s="176"/>
      <c r="E981" s="868"/>
      <c r="F981" s="869">
        <f>SUM(F978:F980)</f>
        <v>30316.880000000001</v>
      </c>
    </row>
    <row r="982" spans="2:6" ht="13.5" thickTop="1">
      <c r="B982" s="300" t="s">
        <v>202</v>
      </c>
      <c r="C982" s="1018">
        <v>1.2999999999999999E-2</v>
      </c>
      <c r="D982" s="302" t="s">
        <v>23</v>
      </c>
      <c r="E982" s="870"/>
      <c r="F982" s="870"/>
    </row>
    <row r="983" spans="2:6">
      <c r="B983" s="300" t="s">
        <v>474</v>
      </c>
      <c r="C983" s="871">
        <v>1</v>
      </c>
      <c r="D983" s="165" t="s">
        <v>127</v>
      </c>
      <c r="E983" s="872">
        <f>C982*F981</f>
        <v>394.12</v>
      </c>
      <c r="F983" s="873">
        <f>ROUND(C983*E983,2)</f>
        <v>394.12</v>
      </c>
    </row>
    <row r="984" spans="2:6" ht="13.5" thickBot="1">
      <c r="B984" s="874" t="s">
        <v>425</v>
      </c>
      <c r="C984" s="875" t="s">
        <v>475</v>
      </c>
      <c r="D984" s="876"/>
      <c r="E984" s="868" t="s">
        <v>43</v>
      </c>
      <c r="F984" s="877">
        <f>SUM(F983:F983)</f>
        <v>394.12</v>
      </c>
    </row>
    <row r="985" spans="2:6" ht="13.5" thickTop="1">
      <c r="B985" s="874"/>
      <c r="C985" s="870"/>
      <c r="D985" s="302"/>
      <c r="E985" s="870"/>
      <c r="F985" s="875"/>
    </row>
    <row r="986" spans="2:6">
      <c r="B986" s="43" t="s">
        <v>476</v>
      </c>
      <c r="C986" s="870"/>
      <c r="D986" s="302"/>
      <c r="E986" s="870"/>
      <c r="F986" s="870"/>
    </row>
    <row r="987" spans="2:6" ht="13.5" thickBot="1">
      <c r="B987" s="43" t="s">
        <v>477</v>
      </c>
      <c r="C987" s="878"/>
      <c r="D987" s="879"/>
      <c r="E987" s="878"/>
      <c r="F987" s="878"/>
    </row>
    <row r="988" spans="2:6" ht="13.5" thickTop="1">
      <c r="B988" s="862" t="s">
        <v>148</v>
      </c>
      <c r="C988" s="863">
        <v>1.05</v>
      </c>
      <c r="D988" s="167" t="s">
        <v>23</v>
      </c>
      <c r="E988" s="863">
        <f>E978</f>
        <v>4455.62</v>
      </c>
      <c r="F988" s="501">
        <f>ROUND(C988*E988,2)</f>
        <v>4678.3999999999996</v>
      </c>
    </row>
    <row r="989" spans="2:6">
      <c r="B989" s="864" t="s">
        <v>164</v>
      </c>
      <c r="C989" s="865">
        <v>4.79</v>
      </c>
      <c r="D989" s="1248" t="s">
        <v>27</v>
      </c>
      <c r="E989" s="865">
        <f>E979</f>
        <v>2600.5500000000002</v>
      </c>
      <c r="F989" s="506">
        <f>ROUND(C989*E989,2)</f>
        <v>12456.63</v>
      </c>
    </row>
    <row r="990" spans="2:6">
      <c r="B990" s="864" t="s">
        <v>201</v>
      </c>
      <c r="C990" s="865">
        <v>16</v>
      </c>
      <c r="D990" s="1248" t="s">
        <v>89</v>
      </c>
      <c r="E990" s="865">
        <v>100</v>
      </c>
      <c r="F990" s="506">
        <f>ROUND(C990*E990,2)</f>
        <v>1600</v>
      </c>
    </row>
    <row r="991" spans="2:6" ht="13.5" thickBot="1">
      <c r="B991" s="866"/>
      <c r="C991" s="867"/>
      <c r="D991" s="176"/>
      <c r="E991" s="868"/>
      <c r="F991" s="869">
        <f>SUM(F988:F990)</f>
        <v>18735.03</v>
      </c>
    </row>
    <row r="992" spans="2:6" ht="13.5" thickTop="1">
      <c r="B992" s="300" t="s">
        <v>196</v>
      </c>
      <c r="C992" s="870">
        <v>0.18</v>
      </c>
      <c r="D992" s="302" t="s">
        <v>23</v>
      </c>
      <c r="E992" s="870"/>
      <c r="F992" s="870"/>
    </row>
    <row r="993" spans="2:6">
      <c r="B993" s="300" t="s">
        <v>478</v>
      </c>
      <c r="C993" s="870">
        <f>F991*C992</f>
        <v>3372.31</v>
      </c>
      <c r="D993" s="302" t="s">
        <v>479</v>
      </c>
      <c r="E993" s="870"/>
      <c r="F993" s="870"/>
    </row>
    <row r="994" spans="2:6" ht="13.5" thickBot="1">
      <c r="B994" s="43" t="s">
        <v>480</v>
      </c>
      <c r="C994" s="878"/>
      <c r="D994" s="879"/>
      <c r="E994" s="878"/>
      <c r="F994" s="878"/>
    </row>
    <row r="995" spans="2:6" ht="13.5" thickTop="1">
      <c r="B995" s="862" t="s">
        <v>148</v>
      </c>
      <c r="C995" s="863">
        <v>1.05</v>
      </c>
      <c r="D995" s="167" t="s">
        <v>23</v>
      </c>
      <c r="E995" s="863">
        <f>E988</f>
        <v>4455.62</v>
      </c>
      <c r="F995" s="501">
        <f>ROUND(C995*E995,2)</f>
        <v>4678.3999999999996</v>
      </c>
    </row>
    <row r="996" spans="2:6">
      <c r="B996" s="864" t="s">
        <v>164</v>
      </c>
      <c r="C996" s="865">
        <v>1.43</v>
      </c>
      <c r="D996" s="1248" t="s">
        <v>27</v>
      </c>
      <c r="E996" s="865">
        <f>E989</f>
        <v>2600.5500000000002</v>
      </c>
      <c r="F996" s="506">
        <f>ROUND(C996*E996,2)</f>
        <v>3718.79</v>
      </c>
    </row>
    <row r="997" spans="2:6" ht="13.5" thickBot="1">
      <c r="B997" s="866"/>
      <c r="C997" s="867"/>
      <c r="D997" s="176"/>
      <c r="E997" s="868"/>
      <c r="F997" s="869">
        <f>SUM(F995:F996)</f>
        <v>8397.19</v>
      </c>
    </row>
    <row r="998" spans="2:6" ht="13.5" thickTop="1">
      <c r="B998" s="880" t="s">
        <v>481</v>
      </c>
      <c r="C998" s="881">
        <v>0.14000000000000001</v>
      </c>
      <c r="D998" s="167" t="s">
        <v>23</v>
      </c>
      <c r="E998" s="881"/>
      <c r="F998" s="882"/>
    </row>
    <row r="999" spans="2:6">
      <c r="B999" s="883" t="s">
        <v>478</v>
      </c>
      <c r="C999" s="884">
        <f>F997*C998</f>
        <v>1175.6099999999999</v>
      </c>
      <c r="D999" s="1248" t="s">
        <v>479</v>
      </c>
      <c r="E999" s="884"/>
      <c r="F999" s="885"/>
    </row>
    <row r="1000" spans="2:6">
      <c r="B1000" s="883" t="s">
        <v>482</v>
      </c>
      <c r="C1000" s="886">
        <v>1</v>
      </c>
      <c r="D1000" s="1248" t="s">
        <v>127</v>
      </c>
      <c r="E1000" s="887">
        <f>C999+C993</f>
        <v>4547.92</v>
      </c>
      <c r="F1000" s="506">
        <f>ROUND(C1000*E1000,2)</f>
        <v>4547.92</v>
      </c>
    </row>
    <row r="1001" spans="2:6">
      <c r="B1001" s="883" t="s">
        <v>145</v>
      </c>
      <c r="C1001" s="886">
        <v>2.86</v>
      </c>
      <c r="D1001" s="888" t="s">
        <v>65</v>
      </c>
      <c r="E1001" s="887">
        <f>F99</f>
        <v>246.8</v>
      </c>
      <c r="F1001" s="506">
        <f>ROUND(C1001*E1001,2)</f>
        <v>705.85</v>
      </c>
    </row>
    <row r="1002" spans="2:6">
      <c r="B1002" s="883" t="s">
        <v>87</v>
      </c>
      <c r="C1002" s="886">
        <v>12.2</v>
      </c>
      <c r="D1002" s="888" t="s">
        <v>89</v>
      </c>
      <c r="E1002" s="887">
        <f>F137</f>
        <v>60.57</v>
      </c>
      <c r="F1002" s="506">
        <f>ROUND(C1002*E1002,2)</f>
        <v>738.95</v>
      </c>
    </row>
    <row r="1003" spans="2:6">
      <c r="B1003" s="883" t="s">
        <v>339</v>
      </c>
      <c r="C1003" s="886">
        <v>1.76</v>
      </c>
      <c r="D1003" s="888" t="s">
        <v>65</v>
      </c>
      <c r="E1003" s="887">
        <v>90.3</v>
      </c>
      <c r="F1003" s="506">
        <f>ROUND(C1003*E1003,2)</f>
        <v>158.93</v>
      </c>
    </row>
    <row r="1004" spans="2:6">
      <c r="B1004" s="883" t="s">
        <v>483</v>
      </c>
      <c r="C1004" s="1294" t="s">
        <v>475</v>
      </c>
      <c r="D1004" s="1294"/>
      <c r="E1004" s="1294"/>
      <c r="F1004" s="889">
        <f>SUM(F1000:F1003)</f>
        <v>6151.65</v>
      </c>
    </row>
    <row r="1005" spans="2:6" ht="13.5" thickBot="1">
      <c r="B1005" s="890" t="s">
        <v>476</v>
      </c>
      <c r="C1005" s="891" t="s">
        <v>478</v>
      </c>
      <c r="D1005" s="176"/>
      <c r="E1005" s="892">
        <f>F1004</f>
        <v>6151.65</v>
      </c>
      <c r="F1005" s="893"/>
    </row>
    <row r="1006" spans="2:6" ht="13.5" thickTop="1">
      <c r="B1006" s="874"/>
      <c r="C1006" s="894"/>
      <c r="D1006" s="302"/>
      <c r="E1006" s="875"/>
      <c r="F1006" s="870"/>
    </row>
    <row r="1007" spans="2:6">
      <c r="B1007" s="1295" t="s">
        <v>484</v>
      </c>
      <c r="C1007" s="1295"/>
      <c r="D1007" s="1295"/>
      <c r="E1007" s="1295"/>
      <c r="F1007" s="895"/>
    </row>
    <row r="1008" spans="2:6">
      <c r="B1008" s="896"/>
      <c r="C1008" s="896"/>
      <c r="D1008" s="896"/>
      <c r="E1008" s="896"/>
      <c r="F1008" s="897"/>
    </row>
    <row r="1009" spans="2:6" ht="13.5" thickBot="1">
      <c r="B1009" s="898" t="s">
        <v>485</v>
      </c>
      <c r="C1009" s="899"/>
      <c r="D1009" s="209"/>
      <c r="E1009" s="900"/>
      <c r="F1009" s="900"/>
    </row>
    <row r="1010" spans="2:6" ht="13.5" thickTop="1">
      <c r="B1010" s="901" t="s">
        <v>486</v>
      </c>
      <c r="C1010" s="902">
        <v>1.05</v>
      </c>
      <c r="D1010" s="90" t="s">
        <v>23</v>
      </c>
      <c r="E1010" s="91">
        <f>F60</f>
        <v>4455.62</v>
      </c>
      <c r="F1010" s="903">
        <f>ROUND(C1010*E1010,2)</f>
        <v>4678.3999999999996</v>
      </c>
    </row>
    <row r="1011" spans="2:6">
      <c r="B1011" s="904" t="s">
        <v>487</v>
      </c>
      <c r="C1011" s="92">
        <v>0.6</v>
      </c>
      <c r="D1011" s="93" t="s">
        <v>27</v>
      </c>
      <c r="E1011" s="851">
        <f>E989</f>
        <v>2600.5500000000002</v>
      </c>
      <c r="F1011" s="905">
        <f>ROUND(C1011*E1011,2)</f>
        <v>1560.33</v>
      </c>
    </row>
    <row r="1012" spans="2:6">
      <c r="B1012" s="906" t="s">
        <v>488</v>
      </c>
      <c r="C1012" s="907">
        <v>8.89</v>
      </c>
      <c r="D1012" s="908" t="s">
        <v>89</v>
      </c>
      <c r="E1012" s="909">
        <v>80.55</v>
      </c>
      <c r="F1012" s="905">
        <f>ROUND(C1012*E1012,2)</f>
        <v>716.09</v>
      </c>
    </row>
    <row r="1013" spans="2:6" ht="13.5" thickBot="1">
      <c r="B1013" s="910"/>
      <c r="C1013" s="911"/>
      <c r="D1013" s="1281" t="s">
        <v>489</v>
      </c>
      <c r="E1013" s="1281"/>
      <c r="F1013" s="331">
        <f>SUM(F1010:F1012)</f>
        <v>6954.82</v>
      </c>
    </row>
    <row r="1014" spans="2:6" ht="14.25" thickTop="1" thickBot="1">
      <c r="B1014" s="874"/>
      <c r="C1014" s="894"/>
      <c r="D1014" s="302"/>
      <c r="E1014" s="875"/>
      <c r="F1014" s="870"/>
    </row>
    <row r="1015" spans="2:6" ht="13.5" thickTop="1">
      <c r="B1015" s="912" t="s">
        <v>165</v>
      </c>
      <c r="C1015" s="913">
        <v>12</v>
      </c>
      <c r="D1015" s="167" t="s">
        <v>89</v>
      </c>
      <c r="E1015" s="881">
        <v>60</v>
      </c>
      <c r="F1015" s="914">
        <f>ROUND(C1015*E1015,2)</f>
        <v>720</v>
      </c>
    </row>
    <row r="1016" spans="2:6">
      <c r="B1016" s="915" t="s">
        <v>490</v>
      </c>
      <c r="C1016" s="916">
        <v>2.7</v>
      </c>
      <c r="D1016" s="917" t="s">
        <v>23</v>
      </c>
      <c r="E1016" s="918">
        <v>240.23</v>
      </c>
      <c r="F1016" s="919">
        <f>ROUND(C1016*E1016,2)</f>
        <v>648.62</v>
      </c>
    </row>
    <row r="1017" spans="2:6">
      <c r="B1017" s="920" t="s">
        <v>167</v>
      </c>
      <c r="C1017" s="921">
        <v>1.35</v>
      </c>
      <c r="D1017" s="922" t="s">
        <v>23</v>
      </c>
      <c r="E1017" s="923">
        <v>70.16</v>
      </c>
      <c r="F1017" s="919">
        <f t="shared" ref="F1017:F1035" si="11">ROUND(C1017*E1017,2)</f>
        <v>94.72</v>
      </c>
    </row>
    <row r="1018" spans="2:6">
      <c r="B1018" s="920" t="s">
        <v>467</v>
      </c>
      <c r="C1018" s="921">
        <v>1.62</v>
      </c>
      <c r="D1018" s="922" t="s">
        <v>23</v>
      </c>
      <c r="E1018" s="923">
        <v>75</v>
      </c>
      <c r="F1018" s="919">
        <f t="shared" si="11"/>
        <v>121.5</v>
      </c>
    </row>
    <row r="1019" spans="2:6">
      <c r="B1019" s="924" t="s">
        <v>491</v>
      </c>
      <c r="C1019" s="925">
        <v>1.35</v>
      </c>
      <c r="D1019" s="922" t="s">
        <v>23</v>
      </c>
      <c r="E1019" s="923">
        <f>F1013</f>
        <v>6954.82</v>
      </c>
      <c r="F1019" s="919">
        <f t="shared" si="11"/>
        <v>9389.01</v>
      </c>
    </row>
    <row r="1020" spans="2:6">
      <c r="B1020" s="920" t="s">
        <v>492</v>
      </c>
      <c r="C1020" s="921">
        <v>7.68</v>
      </c>
      <c r="D1020" s="922" t="s">
        <v>65</v>
      </c>
      <c r="E1020" s="923">
        <f>F200</f>
        <v>760.92</v>
      </c>
      <c r="F1020" s="919">
        <f t="shared" si="11"/>
        <v>5843.87</v>
      </c>
    </row>
    <row r="1021" spans="2:6">
      <c r="B1021" s="920" t="s">
        <v>493</v>
      </c>
      <c r="C1021" s="921">
        <v>12</v>
      </c>
      <c r="D1021" s="922" t="s">
        <v>89</v>
      </c>
      <c r="E1021" s="923">
        <f>(F710*0.09)/12</f>
        <v>0.83</v>
      </c>
      <c r="F1021" s="919">
        <f t="shared" si="11"/>
        <v>9.9600000000000009</v>
      </c>
    </row>
    <row r="1022" spans="2:6">
      <c r="B1022" s="920" t="s">
        <v>494</v>
      </c>
      <c r="C1022" s="921">
        <v>4</v>
      </c>
      <c r="D1022" s="922" t="s">
        <v>127</v>
      </c>
      <c r="E1022" s="923">
        <v>562.6</v>
      </c>
      <c r="F1022" s="919">
        <f t="shared" si="11"/>
        <v>2250.4</v>
      </c>
    </row>
    <row r="1023" spans="2:6">
      <c r="B1023" s="920" t="s">
        <v>495</v>
      </c>
      <c r="C1023" s="921">
        <v>4</v>
      </c>
      <c r="D1023" s="922" t="s">
        <v>127</v>
      </c>
      <c r="E1023" s="923">
        <v>640.67999999999995</v>
      </c>
      <c r="F1023" s="919">
        <f t="shared" si="11"/>
        <v>2562.7199999999998</v>
      </c>
    </row>
    <row r="1024" spans="2:6">
      <c r="B1024" s="920" t="s">
        <v>496</v>
      </c>
      <c r="C1024" s="921">
        <v>2</v>
      </c>
      <c r="D1024" s="922" t="s">
        <v>127</v>
      </c>
      <c r="E1024" s="923">
        <v>54.5</v>
      </c>
      <c r="F1024" s="919">
        <f t="shared" si="11"/>
        <v>109</v>
      </c>
    </row>
    <row r="1025" spans="2:6">
      <c r="B1025" s="920" t="s">
        <v>497</v>
      </c>
      <c r="C1025" s="921">
        <v>3</v>
      </c>
      <c r="D1025" s="922" t="s">
        <v>127</v>
      </c>
      <c r="E1025" s="923">
        <v>50.16</v>
      </c>
      <c r="F1025" s="919">
        <f t="shared" si="11"/>
        <v>150.47999999999999</v>
      </c>
    </row>
    <row r="1026" spans="2:6">
      <c r="B1026" s="920" t="s">
        <v>498</v>
      </c>
      <c r="C1026" s="921">
        <v>2</v>
      </c>
      <c r="D1026" s="922" t="s">
        <v>127</v>
      </c>
      <c r="E1026" s="923">
        <v>272.58999999999997</v>
      </c>
      <c r="F1026" s="919">
        <f t="shared" si="11"/>
        <v>545.17999999999995</v>
      </c>
    </row>
    <row r="1027" spans="2:6">
      <c r="B1027" s="920" t="s">
        <v>499</v>
      </c>
      <c r="C1027" s="921">
        <v>10</v>
      </c>
      <c r="D1027" s="922" t="s">
        <v>127</v>
      </c>
      <c r="E1027" s="923">
        <v>22.93</v>
      </c>
      <c r="F1027" s="919">
        <f t="shared" si="11"/>
        <v>229.3</v>
      </c>
    </row>
    <row r="1028" spans="2:6">
      <c r="B1028" s="920" t="s">
        <v>500</v>
      </c>
      <c r="C1028" s="921">
        <v>9</v>
      </c>
      <c r="D1028" s="922" t="s">
        <v>65</v>
      </c>
      <c r="E1028" s="923">
        <v>243.9</v>
      </c>
      <c r="F1028" s="919">
        <f t="shared" si="11"/>
        <v>2195.1</v>
      </c>
    </row>
    <row r="1029" spans="2:6">
      <c r="B1029" s="920" t="s">
        <v>177</v>
      </c>
      <c r="C1029" s="921">
        <v>4</v>
      </c>
      <c r="D1029" s="922" t="s">
        <v>127</v>
      </c>
      <c r="E1029" s="923">
        <v>197</v>
      </c>
      <c r="F1029" s="919">
        <f t="shared" si="11"/>
        <v>788</v>
      </c>
    </row>
    <row r="1030" spans="2:6">
      <c r="B1030" s="924" t="s">
        <v>501</v>
      </c>
      <c r="C1030" s="925">
        <v>1</v>
      </c>
      <c r="D1030" s="922" t="s">
        <v>115</v>
      </c>
      <c r="E1030" s="926">
        <v>32</v>
      </c>
      <c r="F1030" s="919">
        <f t="shared" si="11"/>
        <v>32</v>
      </c>
    </row>
    <row r="1031" spans="2:6">
      <c r="B1031" s="924" t="s">
        <v>178</v>
      </c>
      <c r="C1031" s="921">
        <v>72</v>
      </c>
      <c r="D1031" s="922" t="s">
        <v>89</v>
      </c>
      <c r="E1031" s="923">
        <v>6.5</v>
      </c>
      <c r="F1031" s="919">
        <f t="shared" si="11"/>
        <v>468</v>
      </c>
    </row>
    <row r="1032" spans="2:6">
      <c r="B1032" s="920" t="s">
        <v>502</v>
      </c>
      <c r="C1032" s="921">
        <v>9.6</v>
      </c>
      <c r="D1032" s="922" t="s">
        <v>65</v>
      </c>
      <c r="E1032" s="923">
        <f>F99</f>
        <v>246.8</v>
      </c>
      <c r="F1032" s="919">
        <f t="shared" si="11"/>
        <v>2369.2800000000002</v>
      </c>
    </row>
    <row r="1033" spans="2:6" ht="25.5">
      <c r="B1033" s="927" t="s">
        <v>503</v>
      </c>
      <c r="C1033" s="921">
        <v>34.200000000000003</v>
      </c>
      <c r="D1033" s="922" t="s">
        <v>65</v>
      </c>
      <c r="E1033" s="923">
        <v>130.5</v>
      </c>
      <c r="F1033" s="919">
        <f t="shared" si="11"/>
        <v>4463.1000000000004</v>
      </c>
    </row>
    <row r="1034" spans="2:6">
      <c r="B1034" s="920" t="s">
        <v>184</v>
      </c>
      <c r="C1034" s="921">
        <v>12.48</v>
      </c>
      <c r="D1034" s="922" t="s">
        <v>65</v>
      </c>
      <c r="E1034" s="923">
        <v>130.5</v>
      </c>
      <c r="F1034" s="919">
        <f t="shared" si="11"/>
        <v>1628.64</v>
      </c>
    </row>
    <row r="1035" spans="2:6">
      <c r="B1035" s="920" t="s">
        <v>64</v>
      </c>
      <c r="C1035" s="921">
        <v>12</v>
      </c>
      <c r="D1035" s="922" t="s">
        <v>89</v>
      </c>
      <c r="E1035" s="923">
        <v>418.06</v>
      </c>
      <c r="F1035" s="919">
        <f t="shared" si="11"/>
        <v>5016.72</v>
      </c>
    </row>
    <row r="1036" spans="2:6">
      <c r="B1036" s="928" t="s">
        <v>504</v>
      </c>
      <c r="C1036" s="921"/>
      <c r="D1036" s="922"/>
      <c r="E1036" s="929"/>
      <c r="F1036" s="930">
        <f>SUM(F1015:F1035)</f>
        <v>39635.599999999999</v>
      </c>
    </row>
    <row r="1037" spans="2:6" ht="13.5" thickBot="1">
      <c r="B1037" s="931" t="s">
        <v>186</v>
      </c>
      <c r="C1037" s="932"/>
      <c r="D1037" s="933"/>
      <c r="E1037" s="934"/>
      <c r="F1037" s="935">
        <f>F1036/12</f>
        <v>3302.97</v>
      </c>
    </row>
    <row r="1038" spans="2:6" ht="13.5" thickTop="1">
      <c r="B1038" s="874"/>
      <c r="C1038" s="894"/>
      <c r="D1038" s="302"/>
      <c r="E1038" s="875"/>
      <c r="F1038" s="870"/>
    </row>
    <row r="1039" spans="2:6" ht="13.5" thickBot="1">
      <c r="B1039" s="357" t="s">
        <v>505</v>
      </c>
      <c r="C1039" s="936">
        <v>12</v>
      </c>
      <c r="D1039" s="371" t="s">
        <v>89</v>
      </c>
      <c r="E1039" s="937"/>
      <c r="F1039" s="937"/>
    </row>
    <row r="1040" spans="2:6" ht="13.5" thickTop="1">
      <c r="B1040" s="938" t="s">
        <v>506</v>
      </c>
      <c r="C1040" s="939">
        <v>3</v>
      </c>
      <c r="D1040" s="940" t="s">
        <v>507</v>
      </c>
      <c r="E1040" s="941">
        <v>39</v>
      </c>
      <c r="F1040" s="903">
        <f>ROUND(C1040*E1040,2)</f>
        <v>117</v>
      </c>
    </row>
    <row r="1041" spans="2:6">
      <c r="B1041" s="942" t="s">
        <v>508</v>
      </c>
      <c r="C1041" s="943">
        <v>0.27</v>
      </c>
      <c r="D1041" s="944" t="s">
        <v>115</v>
      </c>
      <c r="E1041" s="945">
        <v>26</v>
      </c>
      <c r="F1041" s="905">
        <f>ROUND(C1041*E1041,2)</f>
        <v>7.02</v>
      </c>
    </row>
    <row r="1042" spans="2:6">
      <c r="B1042" s="942" t="s">
        <v>21</v>
      </c>
      <c r="C1042" s="943">
        <v>0.48</v>
      </c>
      <c r="D1042" s="944" t="s">
        <v>20</v>
      </c>
      <c r="E1042" s="945">
        <v>106</v>
      </c>
      <c r="F1042" s="905">
        <f>ROUND(C1042*E1042,2)</f>
        <v>50.88</v>
      </c>
    </row>
    <row r="1043" spans="2:6">
      <c r="B1043" s="942" t="s">
        <v>509</v>
      </c>
      <c r="C1043" s="943">
        <v>0.06</v>
      </c>
      <c r="D1043" s="944" t="s">
        <v>510</v>
      </c>
      <c r="E1043" s="945">
        <v>140</v>
      </c>
      <c r="F1043" s="905">
        <f>ROUND(C1043*E1043,2)</f>
        <v>8.4</v>
      </c>
    </row>
    <row r="1044" spans="2:6">
      <c r="B1044" s="946" t="s">
        <v>511</v>
      </c>
      <c r="C1044" s="947"/>
      <c r="D1044" s="944"/>
      <c r="E1044" s="948"/>
      <c r="F1044" s="949"/>
    </row>
    <row r="1045" spans="2:6">
      <c r="B1045" s="942" t="s">
        <v>512</v>
      </c>
      <c r="C1045" s="945">
        <v>0.18</v>
      </c>
      <c r="D1045" s="950" t="s">
        <v>53</v>
      </c>
      <c r="E1045" s="945">
        <v>1200</v>
      </c>
      <c r="F1045" s="905">
        <f>ROUND(C1045*E1045,2)</f>
        <v>216</v>
      </c>
    </row>
    <row r="1046" spans="2:6">
      <c r="B1046" s="942" t="s">
        <v>513</v>
      </c>
      <c r="C1046" s="945">
        <v>0.41</v>
      </c>
      <c r="D1046" s="950" t="s">
        <v>53</v>
      </c>
      <c r="E1046" s="945">
        <v>780</v>
      </c>
      <c r="F1046" s="905">
        <f>ROUND(C1046*E1046,2)</f>
        <v>319.8</v>
      </c>
    </row>
    <row r="1047" spans="2:6">
      <c r="B1047" s="942" t="s">
        <v>514</v>
      </c>
      <c r="C1047" s="945">
        <v>3</v>
      </c>
      <c r="D1047" s="950" t="s">
        <v>207</v>
      </c>
      <c r="E1047" s="945">
        <v>780</v>
      </c>
      <c r="F1047" s="905">
        <f>ROUND(C1047*E1047,2)/100</f>
        <v>23.4</v>
      </c>
    </row>
    <row r="1048" spans="2:6">
      <c r="B1048" s="942"/>
      <c r="C1048" s="947"/>
      <c r="D1048" s="948"/>
      <c r="E1048" s="948"/>
      <c r="F1048" s="951">
        <f>SUM(F1040:F1047)</f>
        <v>742.5</v>
      </c>
    </row>
    <row r="1049" spans="2:6" ht="13.5" thickBot="1">
      <c r="B1049" s="952"/>
      <c r="C1049" s="953"/>
      <c r="D1049" s="954"/>
      <c r="E1049" s="955" t="s">
        <v>515</v>
      </c>
      <c r="F1049" s="956">
        <f>F1048/C1039</f>
        <v>61.88</v>
      </c>
    </row>
    <row r="1050" spans="2:6" ht="13.5" thickTop="1">
      <c r="B1050" s="957"/>
      <c r="C1050" s="958"/>
      <c r="D1050" s="959"/>
      <c r="E1050" s="960"/>
      <c r="F1050" s="873"/>
    </row>
    <row r="1051" spans="2:6" ht="13.5" thickBot="1">
      <c r="B1051" s="357" t="s">
        <v>64</v>
      </c>
      <c r="C1051" s="961"/>
      <c r="D1051" s="937"/>
      <c r="E1051" s="937"/>
      <c r="F1051" s="937"/>
    </row>
    <row r="1052" spans="2:6" ht="13.5" thickTop="1">
      <c r="B1052" s="938" t="s">
        <v>516</v>
      </c>
      <c r="C1052" s="939">
        <v>1</v>
      </c>
      <c r="D1052" s="940" t="s">
        <v>53</v>
      </c>
      <c r="E1052" s="941">
        <v>1200</v>
      </c>
      <c r="F1052" s="903">
        <f>ROUND(C1052*E1052,2)</f>
        <v>1200</v>
      </c>
    </row>
    <row r="1053" spans="2:6">
      <c r="B1053" s="942" t="s">
        <v>517</v>
      </c>
      <c r="C1053" s="943">
        <v>1</v>
      </c>
      <c r="D1053" s="944" t="s">
        <v>53</v>
      </c>
      <c r="E1053" s="945">
        <v>950</v>
      </c>
      <c r="F1053" s="905">
        <f>ROUND(C1053*E1053,2)</f>
        <v>950</v>
      </c>
    </row>
    <row r="1054" spans="2:6">
      <c r="B1054" s="942" t="s">
        <v>518</v>
      </c>
      <c r="C1054" s="943">
        <v>1</v>
      </c>
      <c r="D1054" s="944" t="s">
        <v>53</v>
      </c>
      <c r="E1054" s="945">
        <v>1300</v>
      </c>
      <c r="F1054" s="905">
        <f>ROUND(C1054*E1054,2)</f>
        <v>1300</v>
      </c>
    </row>
    <row r="1055" spans="2:6">
      <c r="B1055" s="942" t="s">
        <v>514</v>
      </c>
      <c r="C1055" s="943">
        <v>3</v>
      </c>
      <c r="D1055" s="944" t="s">
        <v>207</v>
      </c>
      <c r="E1055" s="945">
        <f>SUM(F1052:F1054)</f>
        <v>3450</v>
      </c>
      <c r="F1055" s="905">
        <f>ROUND(C1055*E1055,2)/100</f>
        <v>103.5</v>
      </c>
    </row>
    <row r="1056" spans="2:6">
      <c r="B1056" s="942" t="s">
        <v>519</v>
      </c>
      <c r="C1056" s="943">
        <v>8.5</v>
      </c>
      <c r="D1056" s="944" t="s">
        <v>520</v>
      </c>
      <c r="E1056" s="962" t="s">
        <v>521</v>
      </c>
      <c r="F1056" s="951">
        <f>SUM(F1052:F1055)</f>
        <v>3553.5</v>
      </c>
    </row>
    <row r="1057" spans="2:6" ht="13.5" thickBot="1">
      <c r="B1057" s="963"/>
      <c r="C1057" s="964"/>
      <c r="D1057" s="965"/>
      <c r="E1057" s="966" t="s">
        <v>515</v>
      </c>
      <c r="F1057" s="967">
        <f>F1056/C1056</f>
        <v>418.06</v>
      </c>
    </row>
    <row r="1058" spans="2:6" ht="14.25" thickTop="1" thickBot="1">
      <c r="B1058" s="968" t="s">
        <v>522</v>
      </c>
      <c r="C1058" s="969">
        <v>10</v>
      </c>
      <c r="D1058" s="970" t="s">
        <v>520</v>
      </c>
      <c r="E1058" s="969"/>
      <c r="F1058" s="971">
        <f>F1056/C1058</f>
        <v>355.35</v>
      </c>
    </row>
    <row r="1059" spans="2:6" ht="13.5" thickTop="1">
      <c r="B1059" s="31"/>
      <c r="C1059" s="31"/>
      <c r="D1059" s="31"/>
      <c r="E1059" s="874"/>
      <c r="F1059" s="972"/>
    </row>
    <row r="1060" spans="2:6" ht="13.5" thickBot="1">
      <c r="B1060" s="973" t="s">
        <v>523</v>
      </c>
      <c r="C1060" s="860"/>
      <c r="D1060" s="294"/>
      <c r="E1060" s="860"/>
      <c r="F1060" s="860"/>
    </row>
    <row r="1061" spans="2:6" ht="13.5" thickTop="1">
      <c r="B1061" s="974" t="s">
        <v>21</v>
      </c>
      <c r="C1061" s="975">
        <v>2</v>
      </c>
      <c r="D1061" s="976" t="s">
        <v>20</v>
      </c>
      <c r="E1061" s="975">
        <f>F591</f>
        <v>5046.8999999999996</v>
      </c>
      <c r="F1061" s="977">
        <f>ROUND(C1061*E1061,2)</f>
        <v>10093.799999999999</v>
      </c>
    </row>
    <row r="1062" spans="2:6">
      <c r="B1062" s="978" t="s">
        <v>524</v>
      </c>
      <c r="C1062" s="979">
        <v>0.01</v>
      </c>
      <c r="D1062" s="980" t="s">
        <v>127</v>
      </c>
      <c r="E1062" s="979">
        <v>725</v>
      </c>
      <c r="F1062" s="981">
        <f>ROUND(C1062*E1062,2)</f>
        <v>7.25</v>
      </c>
    </row>
    <row r="1063" spans="2:6">
      <c r="B1063" s="982" t="str">
        <f>CONCATENATE("MAESTRO(1 U) @,",F613, "/DIA")</f>
        <v>MAESTRO(1 U) @,1900/DIA</v>
      </c>
      <c r="C1063" s="979">
        <v>1</v>
      </c>
      <c r="D1063" s="980" t="s">
        <v>252</v>
      </c>
      <c r="E1063" s="979">
        <f>E613/8</f>
        <v>237.5</v>
      </c>
      <c r="F1063" s="981">
        <f>ROUND(C1063*E1063,2)</f>
        <v>237.5</v>
      </c>
    </row>
    <row r="1064" spans="2:6">
      <c r="B1064" s="982" t="str">
        <f>CONCATENATE("PEON (4 U) @,",F617, " C/U /DIA")</f>
        <v>PEON (4 U) @,5000 C/U /DIA</v>
      </c>
      <c r="C1064" s="979">
        <v>1</v>
      </c>
      <c r="D1064" s="980" t="s">
        <v>252</v>
      </c>
      <c r="E1064" s="979">
        <f>(E617*G1064)/8</f>
        <v>0</v>
      </c>
      <c r="F1064" s="981">
        <f>ROUND(C1064*E1064,2)</f>
        <v>0</v>
      </c>
    </row>
    <row r="1065" spans="2:6">
      <c r="B1065" s="983" t="s">
        <v>267</v>
      </c>
      <c r="C1065" s="984">
        <v>200</v>
      </c>
      <c r="D1065" s="985" t="s">
        <v>520</v>
      </c>
      <c r="E1065" s="986" t="s">
        <v>525</v>
      </c>
      <c r="F1065" s="987">
        <f>SUM(F1061:F1064)</f>
        <v>10338.549999999999</v>
      </c>
    </row>
    <row r="1066" spans="2:6">
      <c r="B1066" s="983"/>
      <c r="C1066" s="988"/>
      <c r="D1066" s="985"/>
      <c r="E1066" s="986" t="s">
        <v>526</v>
      </c>
      <c r="F1066" s="987">
        <f>F1065/C1065</f>
        <v>51.69</v>
      </c>
    </row>
    <row r="1067" spans="2:6" ht="13.5" thickBot="1">
      <c r="B1067" s="989"/>
      <c r="C1067" s="990"/>
      <c r="D1067" s="991"/>
      <c r="E1067" s="992" t="s">
        <v>526</v>
      </c>
      <c r="F1067" s="993">
        <v>5</v>
      </c>
    </row>
    <row r="1068" spans="2:6" ht="13.5" thickTop="1"/>
    <row r="1069" spans="2:6" ht="13.5" thickBot="1">
      <c r="B1069" s="994" t="s">
        <v>527</v>
      </c>
      <c r="C1069" s="995"/>
      <c r="D1069" s="995"/>
      <c r="E1069" s="996"/>
      <c r="F1069" s="997"/>
    </row>
    <row r="1070" spans="2:6" ht="13.5" thickTop="1">
      <c r="B1070" s="998" t="s">
        <v>528</v>
      </c>
      <c r="C1070" s="999">
        <v>3.28</v>
      </c>
      <c r="D1070" s="1000" t="s">
        <v>374</v>
      </c>
      <c r="E1070" s="1001">
        <v>143.84</v>
      </c>
      <c r="F1070" s="1002">
        <f>C1070*E1070</f>
        <v>471.8</v>
      </c>
    </row>
    <row r="1071" spans="2:6">
      <c r="B1071" s="1003" t="s">
        <v>529</v>
      </c>
      <c r="C1071" s="1004">
        <v>15</v>
      </c>
      <c r="D1071" s="1005" t="s">
        <v>207</v>
      </c>
      <c r="E1071" s="1006">
        <f>+F1070</f>
        <v>471.8</v>
      </c>
      <c r="F1071" s="1007">
        <f>C1071*E1071/100</f>
        <v>70.77</v>
      </c>
    </row>
    <row r="1072" spans="2:6">
      <c r="B1072" s="1008" t="s">
        <v>530</v>
      </c>
      <c r="C1072" s="1004">
        <v>1</v>
      </c>
      <c r="D1072" s="1009" t="s">
        <v>89</v>
      </c>
      <c r="E1072" s="1006">
        <v>20</v>
      </c>
      <c r="F1072" s="1007">
        <f>C1072*E1072</f>
        <v>20</v>
      </c>
    </row>
    <row r="1073" spans="2:6" ht="13.5" thickBot="1">
      <c r="B1073" s="1010"/>
      <c r="C1073" s="1010"/>
      <c r="D1073" s="1010"/>
      <c r="E1073" s="555" t="s">
        <v>531</v>
      </c>
      <c r="F1073" s="1011">
        <f>ROUND(SUM(F1070:F1072),2)</f>
        <v>562.57000000000005</v>
      </c>
    </row>
    <row r="1074" spans="2:6" ht="13.5" thickTop="1">
      <c r="B1074" s="31"/>
      <c r="C1074" s="31"/>
      <c r="D1074" s="31"/>
      <c r="E1074" s="31"/>
      <c r="F1074" s="31"/>
    </row>
    <row r="1075" spans="2:6">
      <c r="B1075" s="973" t="s">
        <v>532</v>
      </c>
      <c r="C1075" s="860"/>
      <c r="D1075" s="294"/>
      <c r="E1075" s="1012"/>
      <c r="F1075" s="860"/>
    </row>
    <row r="1076" spans="2:6">
      <c r="B1076" s="1013" t="s">
        <v>533</v>
      </c>
      <c r="C1076" s="1014" t="s">
        <v>534</v>
      </c>
      <c r="D1076" s="294"/>
      <c r="E1076" s="1012"/>
      <c r="F1076" s="860"/>
    </row>
    <row r="1077" spans="2:6" ht="13.5" thickBot="1">
      <c r="B1077" s="1013" t="s">
        <v>535</v>
      </c>
      <c r="C1077" s="1014" t="s">
        <v>536</v>
      </c>
      <c r="D1077" s="294"/>
      <c r="E1077" s="860"/>
      <c r="F1077" s="860"/>
    </row>
    <row r="1078" spans="2:6" ht="13.5" thickTop="1">
      <c r="B1078" s="513" t="s">
        <v>537</v>
      </c>
      <c r="C1078" s="499">
        <v>12.1</v>
      </c>
      <c r="D1078" s="515" t="s">
        <v>61</v>
      </c>
      <c r="E1078" s="499">
        <f>F713</f>
        <v>8.6</v>
      </c>
      <c r="F1078" s="501">
        <f t="shared" ref="F1078:F1083" si="12">ROUND(C1078*E1078,2)</f>
        <v>104.06</v>
      </c>
    </row>
    <row r="1079" spans="2:6">
      <c r="B1079" s="516" t="s">
        <v>538</v>
      </c>
      <c r="C1079" s="505">
        <v>5.5</v>
      </c>
      <c r="D1079" s="517" t="s">
        <v>115</v>
      </c>
      <c r="E1079" s="505">
        <f>F716</f>
        <v>925.02</v>
      </c>
      <c r="F1079" s="506">
        <f t="shared" si="12"/>
        <v>5087.6099999999997</v>
      </c>
    </row>
    <row r="1080" spans="2:6">
      <c r="B1080" s="516" t="s">
        <v>539</v>
      </c>
      <c r="C1080" s="505">
        <v>1.02</v>
      </c>
      <c r="D1080" s="517" t="s">
        <v>23</v>
      </c>
      <c r="E1080" s="505">
        <f>F810</f>
        <v>1.35</v>
      </c>
      <c r="F1080" s="506">
        <f t="shared" si="12"/>
        <v>1.38</v>
      </c>
    </row>
    <row r="1081" spans="2:6">
      <c r="B1081" s="516" t="s">
        <v>540</v>
      </c>
      <c r="C1081" s="505">
        <v>0.1</v>
      </c>
      <c r="D1081" s="517" t="s">
        <v>23</v>
      </c>
      <c r="E1081" s="505">
        <f>+F828</f>
        <v>0</v>
      </c>
      <c r="F1081" s="506">
        <f t="shared" si="12"/>
        <v>0</v>
      </c>
    </row>
    <row r="1082" spans="2:6">
      <c r="B1082" s="516" t="s">
        <v>541</v>
      </c>
      <c r="C1082" s="505">
        <v>0.08</v>
      </c>
      <c r="D1082" s="517" t="s">
        <v>23</v>
      </c>
      <c r="E1082" s="505">
        <v>317.81</v>
      </c>
      <c r="F1082" s="506">
        <f t="shared" si="12"/>
        <v>25.42</v>
      </c>
    </row>
    <row r="1083" spans="2:6">
      <c r="B1083" s="516" t="s">
        <v>542</v>
      </c>
      <c r="C1083" s="505">
        <v>10</v>
      </c>
      <c r="D1083" s="517" t="s">
        <v>89</v>
      </c>
      <c r="E1083" s="505">
        <v>111.99</v>
      </c>
      <c r="F1083" s="506">
        <f t="shared" si="12"/>
        <v>1119.9000000000001</v>
      </c>
    </row>
    <row r="1084" spans="2:6" ht="13.5" thickBot="1">
      <c r="B1084" s="1015"/>
      <c r="C1084" s="990"/>
      <c r="D1084" s="511"/>
      <c r="E1084" s="1016" t="s">
        <v>43</v>
      </c>
      <c r="F1084" s="512">
        <f>SUM(F1078:F1083)</f>
        <v>6338.37</v>
      </c>
    </row>
    <row r="1085" spans="2:6" ht="13.5" thickTop="1">
      <c r="B1085" s="43"/>
      <c r="C1085" s="860"/>
      <c r="D1085" s="497" t="s">
        <v>90</v>
      </c>
      <c r="E1085" s="1017">
        <f>ROUND(F1084/C1083,2)</f>
        <v>633.84</v>
      </c>
      <c r="F1085" s="875" t="s">
        <v>543</v>
      </c>
    </row>
  </sheetData>
  <mergeCells count="46">
    <mergeCell ref="B830:G830"/>
    <mergeCell ref="C1004:E1004"/>
    <mergeCell ref="B1007:E1007"/>
    <mergeCell ref="D1013:E1013"/>
    <mergeCell ref="B768:F768"/>
    <mergeCell ref="B777:F777"/>
    <mergeCell ref="B789:G789"/>
    <mergeCell ref="B797:G797"/>
    <mergeCell ref="B807:G807"/>
    <mergeCell ref="B822:F822"/>
    <mergeCell ref="B761:F761"/>
    <mergeCell ref="B514:F514"/>
    <mergeCell ref="B531:F531"/>
    <mergeCell ref="B585:F585"/>
    <mergeCell ref="B621:F621"/>
    <mergeCell ref="B663:F663"/>
    <mergeCell ref="B676:F676"/>
    <mergeCell ref="B683:F683"/>
    <mergeCell ref="B733:F733"/>
    <mergeCell ref="B741:F741"/>
    <mergeCell ref="B747:F747"/>
    <mergeCell ref="B755:F755"/>
    <mergeCell ref="D512:E512"/>
    <mergeCell ref="B359:F359"/>
    <mergeCell ref="B378:F378"/>
    <mergeCell ref="B380:F380"/>
    <mergeCell ref="B388:F388"/>
    <mergeCell ref="B396:F396"/>
    <mergeCell ref="B404:F404"/>
    <mergeCell ref="B415:F415"/>
    <mergeCell ref="B437:F437"/>
    <mergeCell ref="B439:F439"/>
    <mergeCell ref="D490:E490"/>
    <mergeCell ref="D491:E491"/>
    <mergeCell ref="B335:F335"/>
    <mergeCell ref="B1:F1"/>
    <mergeCell ref="B2:F2"/>
    <mergeCell ref="B3:F3"/>
    <mergeCell ref="B4:F4"/>
    <mergeCell ref="B5:F5"/>
    <mergeCell ref="B7:D7"/>
    <mergeCell ref="D159:E159"/>
    <mergeCell ref="D160:E160"/>
    <mergeCell ref="D200:E200"/>
    <mergeCell ref="C201:E201"/>
    <mergeCell ref="B310:F310"/>
  </mergeCells>
  <pageMargins left="0.5" right="0.5" top="0.5" bottom="0.5" header="0" footer="0"/>
  <pageSetup scale="56" orientation="portrait" r:id="rId1"/>
  <headerFooter alignWithMargins="0"/>
  <rowBreaks count="5" manualBreakCount="5">
    <brk id="187" max="6" man="1"/>
    <brk id="277" max="6" man="1"/>
    <brk id="687" max="6" man="1"/>
    <brk id="754" max="6" man="1"/>
    <brk id="80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E664"/>
  <sheetViews>
    <sheetView showZeros="0" tabSelected="1" zoomScaleNormal="100" zoomScaleSheetLayoutView="100" workbookViewId="0">
      <selection activeCell="H5" sqref="H5"/>
    </sheetView>
  </sheetViews>
  <sheetFormatPr baseColWidth="10" defaultColWidth="11.42578125" defaultRowHeight="14.25"/>
  <cols>
    <col min="1" max="1" width="8" style="1021" customWidth="1"/>
    <col min="2" max="2" width="55" style="1021" customWidth="1"/>
    <col min="3" max="3" width="10.5703125" style="1021" customWidth="1"/>
    <col min="4" max="4" width="5.7109375" style="1021" bestFit="1" customWidth="1"/>
    <col min="5" max="5" width="12.5703125" style="1021" customWidth="1"/>
    <col min="6" max="6" width="18.140625" style="1021" customWidth="1"/>
    <col min="7" max="7" width="15.85546875" style="1021" hidden="1" customWidth="1"/>
    <col min="8" max="9" width="15.85546875" style="1021" customWidth="1"/>
    <col min="10" max="16384" width="11.42578125" style="1021"/>
  </cols>
  <sheetData>
    <row r="1" spans="1:9" ht="15">
      <c r="A1" s="1305"/>
      <c r="B1" s="1305"/>
      <c r="C1" s="1305"/>
      <c r="D1" s="1305"/>
      <c r="E1" s="1305"/>
      <c r="F1" s="1305"/>
      <c r="G1" s="1253"/>
      <c r="H1" s="1253"/>
      <c r="I1" s="1253"/>
    </row>
    <row r="2" spans="1:9" ht="15">
      <c r="A2" s="1305"/>
      <c r="B2" s="1305"/>
      <c r="C2" s="1305"/>
      <c r="D2" s="1305"/>
      <c r="E2" s="1305"/>
      <c r="F2" s="1305"/>
      <c r="G2" s="1253"/>
      <c r="H2" s="1253"/>
      <c r="I2" s="1253"/>
    </row>
    <row r="3" spans="1:9" ht="15">
      <c r="A3" s="1305"/>
      <c r="B3" s="1305"/>
      <c r="C3" s="1305"/>
      <c r="D3" s="1305"/>
      <c r="E3" s="1305"/>
      <c r="F3" s="1305"/>
      <c r="G3" s="1253"/>
      <c r="H3" s="1253"/>
      <c r="I3" s="1253"/>
    </row>
    <row r="4" spans="1:9" ht="15">
      <c r="A4" s="1306"/>
      <c r="B4" s="1306"/>
      <c r="C4" s="1306"/>
      <c r="D4" s="1306"/>
      <c r="E4" s="1306"/>
      <c r="F4" s="1306"/>
      <c r="G4" s="1254"/>
      <c r="H4" s="1254"/>
      <c r="I4" s="1254"/>
    </row>
    <row r="5" spans="1:9" ht="13.5" customHeight="1">
      <c r="A5" s="1253"/>
      <c r="B5" s="1022"/>
      <c r="C5" s="1022"/>
      <c r="D5" s="1022"/>
      <c r="E5" s="1022"/>
      <c r="F5" s="1022"/>
      <c r="G5" s="1022"/>
      <c r="H5" s="1022"/>
      <c r="I5" s="1022"/>
    </row>
    <row r="6" spans="1:9" ht="14.25" customHeight="1">
      <c r="A6" s="1298"/>
      <c r="B6" s="1298"/>
      <c r="C6" s="1298"/>
      <c r="D6" s="1298"/>
      <c r="E6" s="1298"/>
      <c r="F6" s="1298"/>
      <c r="G6" s="1023"/>
      <c r="H6" s="1023"/>
      <c r="I6" s="1023"/>
    </row>
    <row r="7" spans="1:9" ht="14.25" customHeight="1">
      <c r="A7" s="1298" t="s">
        <v>544</v>
      </c>
      <c r="B7" s="1298"/>
      <c r="C7" s="1298"/>
      <c r="D7" s="1298"/>
      <c r="E7" s="1298"/>
      <c r="F7" s="1298"/>
      <c r="G7" s="1023"/>
      <c r="H7" s="1023"/>
      <c r="I7" s="1023"/>
    </row>
    <row r="8" spans="1:9" s="1025" customFormat="1">
      <c r="A8" s="1070" t="s">
        <v>545</v>
      </c>
      <c r="B8" s="1070"/>
      <c r="C8" s="1251" t="s">
        <v>546</v>
      </c>
      <c r="D8" s="1070"/>
      <c r="E8" s="1070"/>
      <c r="F8" s="1070"/>
      <c r="G8" s="1024"/>
      <c r="H8" s="1024"/>
      <c r="I8" s="1024"/>
    </row>
    <row r="9" spans="1:9" ht="11.25" customHeight="1">
      <c r="A9" s="1301"/>
      <c r="B9" s="1301"/>
      <c r="C9" s="1301"/>
      <c r="D9" s="1301"/>
      <c r="E9" s="1301"/>
      <c r="F9" s="1301"/>
      <c r="G9" s="1253"/>
      <c r="H9" s="1253"/>
      <c r="I9" s="1253"/>
    </row>
    <row r="10" spans="1:9" ht="18" customHeight="1">
      <c r="A10" s="1123" t="s">
        <v>547</v>
      </c>
      <c r="B10" s="1123" t="s">
        <v>548</v>
      </c>
      <c r="C10" s="1124" t="s">
        <v>13</v>
      </c>
      <c r="D10" s="1124" t="s">
        <v>549</v>
      </c>
      <c r="E10" s="1071" t="s">
        <v>550</v>
      </c>
      <c r="F10" s="1071" t="s">
        <v>551</v>
      </c>
      <c r="G10" s="1026"/>
      <c r="H10" s="1026"/>
      <c r="I10" s="1026"/>
    </row>
    <row r="11" spans="1:9" ht="15">
      <c r="A11" s="1125"/>
      <c r="B11" s="1125"/>
      <c r="C11" s="1126"/>
      <c r="D11" s="1126"/>
      <c r="E11" s="1072"/>
      <c r="F11" s="1072"/>
      <c r="G11" s="1026"/>
      <c r="H11" s="1026"/>
      <c r="I11" s="1026"/>
    </row>
    <row r="12" spans="1:9" s="1022" customFormat="1" ht="15">
      <c r="A12" s="1127" t="s">
        <v>552</v>
      </c>
      <c r="B12" s="1128" t="s">
        <v>553</v>
      </c>
      <c r="C12" s="1129"/>
      <c r="D12" s="1130"/>
      <c r="E12" s="1074"/>
      <c r="F12" s="1075"/>
      <c r="G12" s="1027"/>
      <c r="H12" s="1027"/>
      <c r="I12" s="1027"/>
    </row>
    <row r="13" spans="1:9" s="1022" customFormat="1" ht="12.75" customHeight="1">
      <c r="A13" s="1127"/>
      <c r="B13" s="1131"/>
      <c r="C13" s="1129"/>
      <c r="D13" s="1130"/>
      <c r="E13" s="1074"/>
      <c r="F13" s="1075"/>
      <c r="G13" s="1027"/>
      <c r="H13" s="1027"/>
      <c r="I13" s="1027"/>
    </row>
    <row r="14" spans="1:9" s="1022" customFormat="1" ht="12.75" customHeight="1">
      <c r="A14" s="1132">
        <v>1</v>
      </c>
      <c r="B14" s="1131" t="s">
        <v>554</v>
      </c>
      <c r="C14" s="1129">
        <v>2384.89</v>
      </c>
      <c r="D14" s="1133" t="s">
        <v>89</v>
      </c>
      <c r="E14" s="1076"/>
      <c r="F14" s="1073"/>
      <c r="G14" s="1028">
        <f>+C14*E14</f>
        <v>0</v>
      </c>
      <c r="H14" s="1028"/>
      <c r="I14" s="1028"/>
    </row>
    <row r="15" spans="1:9" s="1022" customFormat="1" ht="12.75" customHeight="1">
      <c r="A15" s="1127"/>
      <c r="B15" s="1131"/>
      <c r="C15" s="1129"/>
      <c r="D15" s="1130"/>
      <c r="E15" s="1074"/>
      <c r="F15" s="1075"/>
      <c r="G15" s="1028">
        <f t="shared" ref="G15:G71" si="0">+C15*E15</f>
        <v>0</v>
      </c>
      <c r="H15" s="1027"/>
      <c r="I15" s="1027"/>
    </row>
    <row r="16" spans="1:9" s="1022" customFormat="1" ht="12.75" customHeight="1">
      <c r="A16" s="1134">
        <v>2</v>
      </c>
      <c r="B16" s="1128" t="s">
        <v>294</v>
      </c>
      <c r="C16" s="1129"/>
      <c r="D16" s="1133"/>
      <c r="E16" s="1076"/>
      <c r="F16" s="1073"/>
      <c r="G16" s="1028">
        <f t="shared" si="0"/>
        <v>0</v>
      </c>
      <c r="H16" s="1028"/>
      <c r="I16" s="1028"/>
    </row>
    <row r="17" spans="1:11" s="1022" customFormat="1" ht="12.75" customHeight="1">
      <c r="A17" s="1132">
        <v>2.1</v>
      </c>
      <c r="B17" s="1132" t="s">
        <v>555</v>
      </c>
      <c r="C17" s="1129">
        <v>1860.21</v>
      </c>
      <c r="D17" s="1133" t="s">
        <v>556</v>
      </c>
      <c r="E17" s="1076"/>
      <c r="F17" s="1073"/>
      <c r="G17" s="1028">
        <f t="shared" si="0"/>
        <v>0</v>
      </c>
      <c r="H17" s="1028"/>
      <c r="I17" s="1028"/>
    </row>
    <row r="18" spans="1:11" s="1022" customFormat="1" ht="12.75" customHeight="1">
      <c r="A18" s="1132">
        <v>2.2000000000000002</v>
      </c>
      <c r="B18" s="1135" t="s">
        <v>557</v>
      </c>
      <c r="C18" s="1129">
        <v>1669.42</v>
      </c>
      <c r="D18" s="1133" t="s">
        <v>558</v>
      </c>
      <c r="E18" s="1076"/>
      <c r="F18" s="1073"/>
      <c r="G18" s="1028">
        <f t="shared" si="0"/>
        <v>0</v>
      </c>
      <c r="H18" s="1028"/>
      <c r="I18" s="1028"/>
    </row>
    <row r="19" spans="1:11" s="1022" customFormat="1" ht="12.75" customHeight="1">
      <c r="A19" s="1132">
        <v>2.2999999999999998</v>
      </c>
      <c r="B19" s="1132" t="s">
        <v>559</v>
      </c>
      <c r="C19" s="1129">
        <v>81.5</v>
      </c>
      <c r="D19" s="1133" t="s">
        <v>560</v>
      </c>
      <c r="E19" s="1076"/>
      <c r="F19" s="1073"/>
      <c r="G19" s="1028">
        <f t="shared" si="0"/>
        <v>0</v>
      </c>
      <c r="H19" s="1028"/>
      <c r="I19" s="1028"/>
      <c r="K19" s="1028"/>
    </row>
    <row r="20" spans="1:11" s="1022" customFormat="1" ht="28.5">
      <c r="A20" s="1132">
        <v>2.4</v>
      </c>
      <c r="B20" s="1132" t="s">
        <v>561</v>
      </c>
      <c r="C20" s="1129">
        <v>1667.12</v>
      </c>
      <c r="D20" s="1133" t="s">
        <v>562</v>
      </c>
      <c r="E20" s="1076"/>
      <c r="F20" s="1073"/>
      <c r="G20" s="1028">
        <f t="shared" si="0"/>
        <v>0</v>
      </c>
      <c r="H20" s="1028"/>
      <c r="I20" s="1028"/>
    </row>
    <row r="21" spans="1:11" s="1022" customFormat="1" ht="28.5">
      <c r="A21" s="1132">
        <v>2.5</v>
      </c>
      <c r="B21" s="1132" t="s">
        <v>563</v>
      </c>
      <c r="C21" s="1129">
        <v>231.71</v>
      </c>
      <c r="D21" s="1133" t="s">
        <v>564</v>
      </c>
      <c r="E21" s="1076"/>
      <c r="F21" s="1073"/>
      <c r="G21" s="1028">
        <f t="shared" si="0"/>
        <v>0</v>
      </c>
      <c r="H21" s="1028"/>
      <c r="I21" s="1028"/>
    </row>
    <row r="22" spans="1:11" s="1022" customFormat="1" ht="12.75" customHeight="1">
      <c r="A22" s="1132"/>
      <c r="B22" s="1131"/>
      <c r="C22" s="1129"/>
      <c r="D22" s="1133"/>
      <c r="E22" s="1076"/>
      <c r="F22" s="1073"/>
      <c r="G22" s="1028">
        <f t="shared" si="0"/>
        <v>0</v>
      </c>
      <c r="H22" s="1028"/>
      <c r="I22" s="1028"/>
    </row>
    <row r="23" spans="1:11" s="1022" customFormat="1" ht="12.75" customHeight="1">
      <c r="A23" s="1134">
        <v>3</v>
      </c>
      <c r="B23" s="1128" t="s">
        <v>565</v>
      </c>
      <c r="C23" s="1129"/>
      <c r="D23" s="1133"/>
      <c r="E23" s="1076"/>
      <c r="F23" s="1073"/>
      <c r="G23" s="1028">
        <f t="shared" si="0"/>
        <v>0</v>
      </c>
      <c r="H23" s="1028"/>
      <c r="I23" s="1028"/>
    </row>
    <row r="24" spans="1:11" s="1022" customFormat="1" ht="12.75" customHeight="1">
      <c r="A24" s="1132">
        <v>3.1</v>
      </c>
      <c r="B24" s="1132" t="s">
        <v>566</v>
      </c>
      <c r="C24" s="1129">
        <v>1220.5899999999999</v>
      </c>
      <c r="D24" s="1133" t="s">
        <v>89</v>
      </c>
      <c r="E24" s="1076"/>
      <c r="F24" s="1073"/>
      <c r="G24" s="1028">
        <f t="shared" si="0"/>
        <v>0</v>
      </c>
      <c r="H24" s="1028"/>
      <c r="I24" s="1028"/>
    </row>
    <row r="25" spans="1:11" s="1022" customFormat="1" ht="12.75" customHeight="1">
      <c r="A25" s="1132">
        <v>3.2</v>
      </c>
      <c r="B25" s="1135" t="s">
        <v>567</v>
      </c>
      <c r="C25" s="1129">
        <v>1187.5899999999999</v>
      </c>
      <c r="D25" s="1133" t="s">
        <v>89</v>
      </c>
      <c r="E25" s="1076"/>
      <c r="F25" s="1073"/>
      <c r="G25" s="1028">
        <f t="shared" si="0"/>
        <v>0</v>
      </c>
      <c r="H25" s="1028"/>
      <c r="I25" s="1028"/>
    </row>
    <row r="26" spans="1:11" s="1022" customFormat="1" ht="12.75" customHeight="1">
      <c r="A26" s="1134"/>
      <c r="B26" s="1131"/>
      <c r="C26" s="1129"/>
      <c r="D26" s="1133"/>
      <c r="E26" s="1076"/>
      <c r="F26" s="1073"/>
      <c r="G26" s="1028">
        <f t="shared" si="0"/>
        <v>0</v>
      </c>
      <c r="H26" s="1028"/>
      <c r="I26" s="1028"/>
    </row>
    <row r="27" spans="1:11" s="1022" customFormat="1" ht="12.75" customHeight="1">
      <c r="A27" s="1134">
        <v>4</v>
      </c>
      <c r="B27" s="1128" t="s">
        <v>568</v>
      </c>
      <c r="C27" s="1129"/>
      <c r="D27" s="1133"/>
      <c r="E27" s="1076"/>
      <c r="F27" s="1073"/>
      <c r="G27" s="1028">
        <f t="shared" si="0"/>
        <v>0</v>
      </c>
      <c r="H27" s="1028"/>
      <c r="I27" s="1028"/>
    </row>
    <row r="28" spans="1:11" s="1022" customFormat="1" ht="12.75" customHeight="1">
      <c r="A28" s="1132">
        <v>4.0999999999999996</v>
      </c>
      <c r="B28" s="1132" t="s">
        <v>566</v>
      </c>
      <c r="C28" s="1129">
        <v>1220.5899999999999</v>
      </c>
      <c r="D28" s="1133" t="s">
        <v>89</v>
      </c>
      <c r="E28" s="1076"/>
      <c r="F28" s="1073"/>
      <c r="G28" s="1028">
        <f t="shared" si="0"/>
        <v>0</v>
      </c>
      <c r="H28" s="1028"/>
      <c r="I28" s="1028"/>
    </row>
    <row r="29" spans="1:11" s="1022" customFormat="1" ht="12.75" customHeight="1">
      <c r="A29" s="1132">
        <v>4.2</v>
      </c>
      <c r="B29" s="1135" t="s">
        <v>569</v>
      </c>
      <c r="C29" s="1129">
        <v>1164.3</v>
      </c>
      <c r="D29" s="1133" t="s">
        <v>89</v>
      </c>
      <c r="E29" s="1076"/>
      <c r="F29" s="1073"/>
      <c r="G29" s="1028">
        <f t="shared" si="0"/>
        <v>0</v>
      </c>
      <c r="H29" s="1028"/>
      <c r="I29" s="1028"/>
    </row>
    <row r="30" spans="1:11" s="1022" customFormat="1" ht="12.75" customHeight="1">
      <c r="A30" s="1127"/>
      <c r="B30" s="1131"/>
      <c r="C30" s="1129"/>
      <c r="D30" s="1130"/>
      <c r="E30" s="1074"/>
      <c r="F30" s="1073"/>
      <c r="G30" s="1028">
        <f t="shared" si="0"/>
        <v>0</v>
      </c>
      <c r="H30" s="1028"/>
      <c r="I30" s="1028"/>
    </row>
    <row r="31" spans="1:11" s="1022" customFormat="1" ht="12.75" customHeight="1">
      <c r="A31" s="1136">
        <v>5</v>
      </c>
      <c r="B31" s="1128" t="s">
        <v>570</v>
      </c>
      <c r="C31" s="1129"/>
      <c r="D31" s="1130"/>
      <c r="E31" s="1074"/>
      <c r="F31" s="1073"/>
      <c r="G31" s="1028">
        <f t="shared" si="0"/>
        <v>0</v>
      </c>
      <c r="H31" s="1028"/>
      <c r="I31" s="1028"/>
    </row>
    <row r="32" spans="1:11" s="1022" customFormat="1" ht="12.75" customHeight="1">
      <c r="A32" s="1137">
        <v>5.0999999999999996</v>
      </c>
      <c r="B32" s="1132" t="s">
        <v>571</v>
      </c>
      <c r="C32" s="1129">
        <v>1220.5899999999999</v>
      </c>
      <c r="D32" s="1133" t="s">
        <v>89</v>
      </c>
      <c r="E32" s="1074"/>
      <c r="F32" s="1073"/>
      <c r="G32" s="1028">
        <f t="shared" si="0"/>
        <v>0</v>
      </c>
      <c r="H32" s="1028"/>
      <c r="I32" s="1028"/>
    </row>
    <row r="33" spans="1:9" s="1022" customFormat="1" ht="12.75" customHeight="1">
      <c r="A33" s="1137">
        <v>5.2</v>
      </c>
      <c r="B33" s="1132" t="s">
        <v>572</v>
      </c>
      <c r="C33" s="1129">
        <v>1164.3</v>
      </c>
      <c r="D33" s="1133" t="s">
        <v>89</v>
      </c>
      <c r="E33" s="1074"/>
      <c r="F33" s="1073"/>
      <c r="G33" s="1028">
        <f t="shared" si="0"/>
        <v>0</v>
      </c>
      <c r="H33" s="1028"/>
      <c r="I33" s="1028"/>
    </row>
    <row r="34" spans="1:9" s="1022" customFormat="1" ht="12.75" customHeight="1">
      <c r="A34" s="1127"/>
      <c r="B34" s="1131"/>
      <c r="C34" s="1129"/>
      <c r="D34" s="1130"/>
      <c r="E34" s="1074"/>
      <c r="F34" s="1073"/>
      <c r="G34" s="1028">
        <f t="shared" si="0"/>
        <v>0</v>
      </c>
      <c r="H34" s="1028"/>
      <c r="I34" s="1028"/>
    </row>
    <row r="35" spans="1:9" s="1022" customFormat="1" ht="30">
      <c r="A35" s="1134">
        <v>6</v>
      </c>
      <c r="B35" s="1128" t="s">
        <v>573</v>
      </c>
      <c r="C35" s="1129"/>
      <c r="D35" s="1130"/>
      <c r="E35" s="1074"/>
      <c r="F35" s="1073"/>
      <c r="G35" s="1028">
        <f t="shared" si="0"/>
        <v>0</v>
      </c>
      <c r="H35" s="1028"/>
      <c r="I35" s="1028"/>
    </row>
    <row r="36" spans="1:9" s="1022" customFormat="1" ht="12.75" customHeight="1">
      <c r="A36" s="1132">
        <v>6.1</v>
      </c>
      <c r="B36" s="1044" t="s">
        <v>574</v>
      </c>
      <c r="C36" s="1129">
        <v>1</v>
      </c>
      <c r="D36" s="1130" t="s">
        <v>549</v>
      </c>
      <c r="E36" s="1074"/>
      <c r="F36" s="1073"/>
      <c r="G36" s="1028">
        <f t="shared" si="0"/>
        <v>0</v>
      </c>
      <c r="H36" s="1028"/>
      <c r="I36" s="1028"/>
    </row>
    <row r="37" spans="1:9" s="1022" customFormat="1">
      <c r="A37" s="1137">
        <v>6.2</v>
      </c>
      <c r="B37" s="1044" t="s">
        <v>575</v>
      </c>
      <c r="C37" s="1129">
        <v>7</v>
      </c>
      <c r="D37" s="1130" t="s">
        <v>549</v>
      </c>
      <c r="E37" s="1074"/>
      <c r="F37" s="1073"/>
      <c r="G37" s="1028">
        <f t="shared" si="0"/>
        <v>0</v>
      </c>
      <c r="H37" s="1028"/>
      <c r="I37" s="1028"/>
    </row>
    <row r="38" spans="1:9" s="1022" customFormat="1">
      <c r="A38" s="1137">
        <v>6.3</v>
      </c>
      <c r="B38" s="1044" t="s">
        <v>576</v>
      </c>
      <c r="C38" s="1129">
        <v>26</v>
      </c>
      <c r="D38" s="1130" t="s">
        <v>549</v>
      </c>
      <c r="E38" s="1074"/>
      <c r="F38" s="1073"/>
      <c r="G38" s="1028">
        <f t="shared" si="0"/>
        <v>0</v>
      </c>
      <c r="H38" s="1028"/>
      <c r="I38" s="1028"/>
    </row>
    <row r="39" spans="1:9" s="1022" customFormat="1">
      <c r="A39" s="1137"/>
      <c r="B39" s="1044"/>
      <c r="C39" s="1129"/>
      <c r="D39" s="1130"/>
      <c r="E39" s="1074"/>
      <c r="F39" s="1073"/>
      <c r="G39" s="1028">
        <f t="shared" si="0"/>
        <v>0</v>
      </c>
      <c r="H39" s="1028"/>
      <c r="I39" s="1028"/>
    </row>
    <row r="40" spans="1:9" s="1022" customFormat="1" ht="12.75" customHeight="1">
      <c r="A40" s="1134">
        <v>7</v>
      </c>
      <c r="B40" s="1138" t="s">
        <v>577</v>
      </c>
      <c r="C40" s="1129"/>
      <c r="D40" s="1130"/>
      <c r="E40" s="1074"/>
      <c r="F40" s="1073"/>
      <c r="G40" s="1028">
        <f t="shared" si="0"/>
        <v>0</v>
      </c>
      <c r="H40" s="1028"/>
      <c r="I40" s="1028"/>
    </row>
    <row r="41" spans="1:9" s="1022" customFormat="1" ht="12.75" customHeight="1">
      <c r="A41" s="1137">
        <v>7.1</v>
      </c>
      <c r="B41" s="1131" t="s">
        <v>578</v>
      </c>
      <c r="C41" s="1129">
        <v>77</v>
      </c>
      <c r="D41" s="1130" t="s">
        <v>549</v>
      </c>
      <c r="E41" s="1074"/>
      <c r="F41" s="1073"/>
      <c r="G41" s="1028">
        <f t="shared" si="0"/>
        <v>0</v>
      </c>
      <c r="H41" s="1028"/>
      <c r="I41" s="1028"/>
    </row>
    <row r="42" spans="1:9" s="1022" customFormat="1" ht="12.75" customHeight="1">
      <c r="A42" s="1127"/>
      <c r="B42" s="1131"/>
      <c r="C42" s="1129"/>
      <c r="D42" s="1130"/>
      <c r="E42" s="1074"/>
      <c r="F42" s="1073"/>
      <c r="G42" s="1028">
        <f t="shared" si="0"/>
        <v>0</v>
      </c>
      <c r="H42" s="1028"/>
      <c r="I42" s="1028"/>
    </row>
    <row r="43" spans="1:9" s="1022" customFormat="1" ht="12.75" customHeight="1">
      <c r="A43" s="1134">
        <v>8</v>
      </c>
      <c r="B43" s="1128" t="s">
        <v>579</v>
      </c>
      <c r="C43" s="1129"/>
      <c r="D43" s="1130"/>
      <c r="E43" s="1074"/>
      <c r="F43" s="1073"/>
      <c r="G43" s="1028">
        <f t="shared" si="0"/>
        <v>0</v>
      </c>
      <c r="H43" s="1028"/>
      <c r="I43" s="1028"/>
    </row>
    <row r="44" spans="1:9" s="1022" customFormat="1">
      <c r="A44" s="1137">
        <v>8.1</v>
      </c>
      <c r="B44" s="1132" t="s">
        <v>580</v>
      </c>
      <c r="C44" s="1129">
        <v>1</v>
      </c>
      <c r="D44" s="1130" t="s">
        <v>549</v>
      </c>
      <c r="E44" s="1074"/>
      <c r="F44" s="1073"/>
      <c r="G44" s="1028">
        <f t="shared" si="0"/>
        <v>0</v>
      </c>
      <c r="H44" s="1028"/>
      <c r="I44" s="1028"/>
    </row>
    <row r="45" spans="1:9" s="1022" customFormat="1">
      <c r="A45" s="1137">
        <v>8.1999999999999993</v>
      </c>
      <c r="B45" s="1131" t="s">
        <v>581</v>
      </c>
      <c r="C45" s="1129">
        <v>1</v>
      </c>
      <c r="D45" s="1130" t="s">
        <v>549</v>
      </c>
      <c r="E45" s="1074"/>
      <c r="F45" s="1073"/>
      <c r="G45" s="1028">
        <f t="shared" si="0"/>
        <v>0</v>
      </c>
      <c r="H45" s="1028"/>
      <c r="I45" s="1028"/>
    </row>
    <row r="46" spans="1:9" s="1022" customFormat="1">
      <c r="A46" s="1137">
        <v>8.3000000000000007</v>
      </c>
      <c r="B46" s="1131" t="s">
        <v>582</v>
      </c>
      <c r="C46" s="1129">
        <v>1</v>
      </c>
      <c r="D46" s="1130" t="s">
        <v>549</v>
      </c>
      <c r="E46" s="1074"/>
      <c r="F46" s="1073"/>
      <c r="G46" s="1028">
        <f t="shared" si="0"/>
        <v>0</v>
      </c>
      <c r="H46" s="1028"/>
      <c r="I46" s="1028"/>
    </row>
    <row r="47" spans="1:9" s="1022" customFormat="1">
      <c r="A47" s="1137">
        <v>8.4</v>
      </c>
      <c r="B47" s="1132" t="s">
        <v>583</v>
      </c>
      <c r="C47" s="1129">
        <v>3</v>
      </c>
      <c r="D47" s="1130" t="s">
        <v>549</v>
      </c>
      <c r="E47" s="1074"/>
      <c r="F47" s="1073"/>
      <c r="G47" s="1028">
        <f t="shared" si="0"/>
        <v>0</v>
      </c>
      <c r="H47" s="1028"/>
      <c r="I47" s="1028"/>
    </row>
    <row r="48" spans="1:9" s="1022" customFormat="1" ht="12.75" customHeight="1">
      <c r="A48" s="1137">
        <v>8.5</v>
      </c>
      <c r="B48" s="1132" t="s">
        <v>584</v>
      </c>
      <c r="C48" s="1129">
        <v>2</v>
      </c>
      <c r="D48" s="1130" t="s">
        <v>549</v>
      </c>
      <c r="E48" s="1074"/>
      <c r="F48" s="1073"/>
      <c r="G48" s="1028">
        <f t="shared" si="0"/>
        <v>0</v>
      </c>
      <c r="H48" s="1028"/>
      <c r="I48" s="1028"/>
    </row>
    <row r="49" spans="1:9" s="1022" customFormat="1">
      <c r="A49" s="1137">
        <v>8.6</v>
      </c>
      <c r="B49" s="1132" t="s">
        <v>585</v>
      </c>
      <c r="C49" s="1129">
        <v>4</v>
      </c>
      <c r="D49" s="1130" t="s">
        <v>549</v>
      </c>
      <c r="E49" s="1074"/>
      <c r="F49" s="1073"/>
      <c r="G49" s="1028">
        <f t="shared" si="0"/>
        <v>0</v>
      </c>
      <c r="H49" s="1028"/>
      <c r="I49" s="1028"/>
    </row>
    <row r="50" spans="1:9" s="1022" customFormat="1" ht="12.75" customHeight="1">
      <c r="A50" s="1139"/>
      <c r="B50" s="1140"/>
      <c r="C50" s="1141"/>
      <c r="D50" s="1142"/>
      <c r="E50" s="1079"/>
      <c r="F50" s="1078"/>
      <c r="G50" s="1028">
        <f t="shared" si="0"/>
        <v>0</v>
      </c>
      <c r="H50" s="1028"/>
      <c r="I50" s="1028"/>
    </row>
    <row r="51" spans="1:9" s="1022" customFormat="1" ht="12.75" customHeight="1">
      <c r="A51" s="1136">
        <v>9</v>
      </c>
      <c r="B51" s="1128" t="s">
        <v>586</v>
      </c>
      <c r="C51" s="1129">
        <v>1</v>
      </c>
      <c r="D51" s="1130" t="s">
        <v>549</v>
      </c>
      <c r="E51" s="1074"/>
      <c r="F51" s="1073"/>
      <c r="G51" s="1028">
        <f t="shared" si="0"/>
        <v>0</v>
      </c>
      <c r="H51" s="1028"/>
      <c r="I51" s="1028"/>
    </row>
    <row r="52" spans="1:9" s="1022" customFormat="1" ht="12.75" customHeight="1">
      <c r="A52" s="1137"/>
      <c r="B52" s="1131"/>
      <c r="C52" s="1129"/>
      <c r="D52" s="1130"/>
      <c r="E52" s="1074"/>
      <c r="F52" s="1073"/>
      <c r="G52" s="1028">
        <f t="shared" si="0"/>
        <v>0</v>
      </c>
      <c r="H52" s="1028"/>
      <c r="I52" s="1028"/>
    </row>
    <row r="53" spans="1:9" s="1022" customFormat="1" ht="12.75" customHeight="1">
      <c r="A53" s="1136">
        <v>10</v>
      </c>
      <c r="B53" s="1143" t="s">
        <v>587</v>
      </c>
      <c r="C53" s="1129"/>
      <c r="D53" s="1130"/>
      <c r="E53" s="1074"/>
      <c r="F53" s="1073"/>
      <c r="G53" s="1028">
        <f t="shared" si="0"/>
        <v>0</v>
      </c>
      <c r="H53" s="1028"/>
      <c r="I53" s="1028"/>
    </row>
    <row r="54" spans="1:9" s="1022" customFormat="1" ht="30">
      <c r="A54" s="1144">
        <v>10.1</v>
      </c>
      <c r="B54" s="1143" t="s">
        <v>588</v>
      </c>
      <c r="C54" s="1145"/>
      <c r="D54" s="1146"/>
      <c r="E54" s="1074"/>
      <c r="F54" s="1073"/>
      <c r="G54" s="1028">
        <f t="shared" si="0"/>
        <v>0</v>
      </c>
      <c r="H54" s="1028"/>
      <c r="I54" s="1028"/>
    </row>
    <row r="55" spans="1:9" s="1022" customFormat="1" ht="12.75" customHeight="1">
      <c r="A55" s="1147" t="s">
        <v>589</v>
      </c>
      <c r="B55" s="1132" t="s">
        <v>554</v>
      </c>
      <c r="C55" s="1148">
        <v>1</v>
      </c>
      <c r="D55" s="1149" t="s">
        <v>63</v>
      </c>
      <c r="E55" s="1074"/>
      <c r="F55" s="1073"/>
      <c r="G55" s="1028">
        <f t="shared" si="0"/>
        <v>0</v>
      </c>
      <c r="H55" s="1028"/>
      <c r="I55" s="1028"/>
    </row>
    <row r="56" spans="1:9" s="1022" customFormat="1" ht="17.25" customHeight="1">
      <c r="A56" s="1147" t="s">
        <v>590</v>
      </c>
      <c r="B56" s="1132" t="s">
        <v>591</v>
      </c>
      <c r="C56" s="1150">
        <v>225</v>
      </c>
      <c r="D56" s="1151" t="s">
        <v>89</v>
      </c>
      <c r="E56" s="1074"/>
      <c r="F56" s="1073"/>
      <c r="G56" s="1028">
        <f t="shared" si="0"/>
        <v>0</v>
      </c>
      <c r="H56" s="1028"/>
      <c r="I56" s="1028"/>
    </row>
    <row r="57" spans="1:9" s="1022" customFormat="1">
      <c r="A57" s="1147" t="s">
        <v>592</v>
      </c>
      <c r="B57" s="1132" t="s">
        <v>593</v>
      </c>
      <c r="C57" s="1150">
        <v>4</v>
      </c>
      <c r="D57" s="1130" t="s">
        <v>549</v>
      </c>
      <c r="E57" s="1074"/>
      <c r="F57" s="1073"/>
      <c r="G57" s="1028">
        <f t="shared" si="0"/>
        <v>0</v>
      </c>
      <c r="H57" s="1028"/>
      <c r="I57" s="1028"/>
    </row>
    <row r="58" spans="1:9" s="1022" customFormat="1" ht="12.75" customHeight="1">
      <c r="A58" s="1147" t="s">
        <v>594</v>
      </c>
      <c r="B58" s="1135" t="s">
        <v>595</v>
      </c>
      <c r="C58" s="1150">
        <v>2</v>
      </c>
      <c r="D58" s="1130" t="s">
        <v>549</v>
      </c>
      <c r="E58" s="1074"/>
      <c r="F58" s="1073"/>
      <c r="G58" s="1028">
        <f t="shared" si="0"/>
        <v>0</v>
      </c>
      <c r="H58" s="1028"/>
      <c r="I58" s="1028"/>
    </row>
    <row r="59" spans="1:9" s="1022" customFormat="1" ht="16.5">
      <c r="A59" s="1147" t="s">
        <v>596</v>
      </c>
      <c r="B59" s="1135" t="s">
        <v>597</v>
      </c>
      <c r="C59" s="1150">
        <v>4</v>
      </c>
      <c r="D59" s="1130" t="s">
        <v>549</v>
      </c>
      <c r="E59" s="1074"/>
      <c r="F59" s="1073"/>
      <c r="G59" s="1028">
        <f t="shared" si="0"/>
        <v>0</v>
      </c>
      <c r="H59" s="1028"/>
      <c r="I59" s="1028"/>
    </row>
    <row r="60" spans="1:9" s="1022" customFormat="1" ht="16.5">
      <c r="A60" s="1147" t="s">
        <v>598</v>
      </c>
      <c r="B60" s="1135" t="s">
        <v>599</v>
      </c>
      <c r="C60" s="1150">
        <v>4</v>
      </c>
      <c r="D60" s="1130" t="s">
        <v>549</v>
      </c>
      <c r="E60" s="1074"/>
      <c r="F60" s="1073"/>
      <c r="G60" s="1028">
        <f t="shared" si="0"/>
        <v>0</v>
      </c>
      <c r="H60" s="1028"/>
      <c r="I60" s="1028"/>
    </row>
    <row r="61" spans="1:9" s="1022" customFormat="1" ht="12.75" customHeight="1">
      <c r="A61" s="1147" t="s">
        <v>600</v>
      </c>
      <c r="B61" s="1135" t="s">
        <v>601</v>
      </c>
      <c r="C61" s="1150">
        <v>175.5</v>
      </c>
      <c r="D61" s="1133" t="s">
        <v>560</v>
      </c>
      <c r="E61" s="1074"/>
      <c r="F61" s="1073"/>
      <c r="G61" s="1028">
        <f t="shared" si="0"/>
        <v>0</v>
      </c>
      <c r="H61" s="1028"/>
      <c r="I61" s="1028"/>
    </row>
    <row r="62" spans="1:9" s="1022" customFormat="1" ht="12.75" customHeight="1">
      <c r="A62" s="1147" t="s">
        <v>602</v>
      </c>
      <c r="B62" s="1135" t="s">
        <v>603</v>
      </c>
      <c r="C62" s="1150">
        <v>164.59</v>
      </c>
      <c r="D62" s="1133" t="s">
        <v>560</v>
      </c>
      <c r="E62" s="1074"/>
      <c r="F62" s="1073"/>
      <c r="G62" s="1028">
        <f t="shared" si="0"/>
        <v>0</v>
      </c>
      <c r="H62" s="1028"/>
      <c r="I62" s="1028"/>
    </row>
    <row r="63" spans="1:9" s="1022" customFormat="1" ht="12.75" customHeight="1">
      <c r="A63" s="1147" t="s">
        <v>604</v>
      </c>
      <c r="B63" s="1132" t="s">
        <v>605</v>
      </c>
      <c r="C63" s="1150">
        <v>13.09</v>
      </c>
      <c r="D63" s="1133" t="s">
        <v>560</v>
      </c>
      <c r="E63" s="1074"/>
      <c r="F63" s="1073"/>
      <c r="G63" s="1028">
        <f t="shared" si="0"/>
        <v>0</v>
      </c>
      <c r="H63" s="1028"/>
      <c r="I63" s="1028"/>
    </row>
    <row r="64" spans="1:9" s="1022" customFormat="1" ht="12.75" customHeight="1">
      <c r="A64" s="1147" t="s">
        <v>606</v>
      </c>
      <c r="B64" s="1135" t="s">
        <v>607</v>
      </c>
      <c r="C64" s="1150">
        <v>1</v>
      </c>
      <c r="D64" s="1130" t="s">
        <v>549</v>
      </c>
      <c r="E64" s="1074"/>
      <c r="F64" s="1073"/>
      <c r="G64" s="1028">
        <f t="shared" si="0"/>
        <v>0</v>
      </c>
      <c r="H64" s="1028"/>
      <c r="I64" s="1028"/>
    </row>
    <row r="65" spans="1:11" s="1022" customFormat="1" ht="12.75" customHeight="1">
      <c r="A65" s="1152"/>
      <c r="B65" s="1153" t="s">
        <v>608</v>
      </c>
      <c r="C65" s="1154"/>
      <c r="D65" s="1155"/>
      <c r="E65" s="1082"/>
      <c r="F65" s="1083"/>
      <c r="G65" s="1028">
        <f t="shared" si="0"/>
        <v>0</v>
      </c>
      <c r="H65" s="1029"/>
      <c r="I65" s="1029"/>
    </row>
    <row r="66" spans="1:11" s="1022" customFormat="1" ht="12.75" customHeight="1">
      <c r="A66" s="1127"/>
      <c r="B66" s="1131"/>
      <c r="C66" s="1129"/>
      <c r="D66" s="1130"/>
      <c r="E66" s="1074"/>
      <c r="F66" s="1073"/>
      <c r="G66" s="1028">
        <f t="shared" si="0"/>
        <v>0</v>
      </c>
      <c r="H66" s="1028"/>
      <c r="I66" s="1028"/>
    </row>
    <row r="67" spans="1:11" s="1022" customFormat="1" ht="12.75" customHeight="1">
      <c r="A67" s="1127" t="s">
        <v>609</v>
      </c>
      <c r="B67" s="1128" t="s">
        <v>610</v>
      </c>
      <c r="C67" s="1129"/>
      <c r="D67" s="1130"/>
      <c r="E67" s="1074"/>
      <c r="F67" s="1075"/>
      <c r="G67" s="1028">
        <f t="shared" si="0"/>
        <v>0</v>
      </c>
      <c r="H67" s="1027"/>
      <c r="I67" s="1027"/>
    </row>
    <row r="68" spans="1:11" s="1022" customFormat="1" ht="12.75" customHeight="1">
      <c r="A68" s="1127"/>
      <c r="B68" s="1131"/>
      <c r="C68" s="1129"/>
      <c r="D68" s="1130"/>
      <c r="E68" s="1074"/>
      <c r="F68" s="1075"/>
      <c r="G68" s="1028">
        <f t="shared" si="0"/>
        <v>0</v>
      </c>
      <c r="H68" s="1027"/>
      <c r="I68" s="1027"/>
    </row>
    <row r="69" spans="1:11" s="1022" customFormat="1" ht="12.75" customHeight="1">
      <c r="A69" s="1132">
        <v>1</v>
      </c>
      <c r="B69" s="1135" t="s">
        <v>554</v>
      </c>
      <c r="C69" s="1129">
        <v>2027.98</v>
      </c>
      <c r="D69" s="1133" t="s">
        <v>89</v>
      </c>
      <c r="E69" s="1076"/>
      <c r="F69" s="1073"/>
      <c r="G69" s="1028">
        <f t="shared" si="0"/>
        <v>0</v>
      </c>
      <c r="H69" s="1028"/>
      <c r="I69" s="1028"/>
    </row>
    <row r="70" spans="1:11" s="1022" customFormat="1" ht="12.75" customHeight="1">
      <c r="A70" s="1127"/>
      <c r="B70" s="1131"/>
      <c r="C70" s="1129"/>
      <c r="D70" s="1130"/>
      <c r="E70" s="1074"/>
      <c r="F70" s="1075"/>
      <c r="G70" s="1028">
        <f t="shared" si="0"/>
        <v>0</v>
      </c>
      <c r="H70" s="1027"/>
      <c r="I70" s="1027"/>
    </row>
    <row r="71" spans="1:11" s="1022" customFormat="1" ht="12.75" customHeight="1">
      <c r="A71" s="1134">
        <v>2</v>
      </c>
      <c r="B71" s="1128" t="s">
        <v>294</v>
      </c>
      <c r="C71" s="1129"/>
      <c r="D71" s="1133"/>
      <c r="E71" s="1076"/>
      <c r="F71" s="1073"/>
      <c r="G71" s="1028">
        <f t="shared" si="0"/>
        <v>0</v>
      </c>
      <c r="H71" s="1028"/>
      <c r="I71" s="1028"/>
    </row>
    <row r="72" spans="1:11" s="1022" customFormat="1" ht="12.75" customHeight="1">
      <c r="A72" s="1132">
        <v>2.1</v>
      </c>
      <c r="B72" s="1132" t="s">
        <v>555</v>
      </c>
      <c r="C72" s="1129">
        <v>1462.8</v>
      </c>
      <c r="D72" s="1133" t="s">
        <v>560</v>
      </c>
      <c r="E72" s="1076"/>
      <c r="F72" s="1073"/>
      <c r="G72" s="1028">
        <f t="shared" ref="G72:G128" si="1">+C72*E72</f>
        <v>0</v>
      </c>
      <c r="H72" s="1028"/>
      <c r="I72" s="1028"/>
    </row>
    <row r="73" spans="1:11" s="1022" customFormat="1" ht="12.75" customHeight="1">
      <c r="A73" s="1132">
        <v>2.2000000000000002</v>
      </c>
      <c r="B73" s="1135" t="s">
        <v>557</v>
      </c>
      <c r="C73" s="1129">
        <v>1334.57</v>
      </c>
      <c r="D73" s="1133" t="s">
        <v>558</v>
      </c>
      <c r="E73" s="1076"/>
      <c r="F73" s="1073"/>
      <c r="G73" s="1028">
        <f t="shared" si="1"/>
        <v>0</v>
      </c>
      <c r="H73" s="1028"/>
      <c r="I73" s="1028"/>
    </row>
    <row r="74" spans="1:11" s="1022" customFormat="1" ht="12.75" customHeight="1">
      <c r="A74" s="1132">
        <v>2.2999999999999998</v>
      </c>
      <c r="B74" s="1132" t="s">
        <v>611</v>
      </c>
      <c r="C74" s="1129">
        <v>141.96</v>
      </c>
      <c r="D74" s="1133" t="s">
        <v>560</v>
      </c>
      <c r="E74" s="1076"/>
      <c r="F74" s="1073"/>
      <c r="G74" s="1028">
        <f t="shared" si="1"/>
        <v>0</v>
      </c>
      <c r="H74" s="1028"/>
      <c r="I74" s="1028"/>
    </row>
    <row r="75" spans="1:11" s="1022" customFormat="1" ht="28.5">
      <c r="A75" s="1132">
        <v>2.4</v>
      </c>
      <c r="B75" s="1132" t="s">
        <v>561</v>
      </c>
      <c r="C75" s="1129">
        <v>1240.3800000000001</v>
      </c>
      <c r="D75" s="1133" t="s">
        <v>560</v>
      </c>
      <c r="E75" s="1076"/>
      <c r="F75" s="1073"/>
      <c r="G75" s="1028">
        <f t="shared" si="1"/>
        <v>0</v>
      </c>
      <c r="H75" s="1028"/>
      <c r="I75" s="1028"/>
    </row>
    <row r="76" spans="1:11" s="1022" customFormat="1" ht="28.5">
      <c r="A76" s="1132">
        <v>2.5</v>
      </c>
      <c r="B76" s="1132" t="s">
        <v>563</v>
      </c>
      <c r="C76" s="1129">
        <v>266.89999999999998</v>
      </c>
      <c r="D76" s="1133" t="s">
        <v>560</v>
      </c>
      <c r="E76" s="1076"/>
      <c r="F76" s="1073"/>
      <c r="G76" s="1028">
        <f t="shared" si="1"/>
        <v>0</v>
      </c>
      <c r="H76" s="1028"/>
      <c r="I76" s="1028"/>
    </row>
    <row r="77" spans="1:11" s="1022" customFormat="1" ht="12.75" customHeight="1">
      <c r="A77" s="1132"/>
      <c r="B77" s="1131"/>
      <c r="C77" s="1129"/>
      <c r="D77" s="1133"/>
      <c r="E77" s="1076"/>
      <c r="F77" s="1073"/>
      <c r="G77" s="1028">
        <f t="shared" si="1"/>
        <v>0</v>
      </c>
      <c r="H77" s="1028"/>
      <c r="I77" s="1028"/>
    </row>
    <row r="78" spans="1:11" s="1022" customFormat="1" ht="12.75" customHeight="1">
      <c r="A78" s="1134">
        <v>3</v>
      </c>
      <c r="B78" s="1128" t="s">
        <v>565</v>
      </c>
      <c r="C78" s="1129"/>
      <c r="D78" s="1133"/>
      <c r="E78" s="1076"/>
      <c r="F78" s="1073"/>
      <c r="G78" s="1028">
        <f t="shared" si="1"/>
        <v>0</v>
      </c>
      <c r="H78" s="1028"/>
      <c r="I78" s="1028"/>
    </row>
    <row r="79" spans="1:11" s="1022" customFormat="1" ht="12.75" customHeight="1">
      <c r="A79" s="1132">
        <v>3.1</v>
      </c>
      <c r="B79" s="1131" t="s">
        <v>612</v>
      </c>
      <c r="C79" s="1129">
        <v>1734.34</v>
      </c>
      <c r="D79" s="1133" t="s">
        <v>89</v>
      </c>
      <c r="E79" s="1076"/>
      <c r="F79" s="1073"/>
      <c r="G79" s="1028">
        <f t="shared" si="1"/>
        <v>0</v>
      </c>
      <c r="H79" s="1028"/>
      <c r="I79" s="1028"/>
      <c r="K79" s="1030"/>
    </row>
    <row r="80" spans="1:11" s="1022" customFormat="1" ht="12.75" customHeight="1">
      <c r="A80" s="1132">
        <v>3.2</v>
      </c>
      <c r="B80" s="1131" t="s">
        <v>613</v>
      </c>
      <c r="C80" s="1129">
        <v>334.2</v>
      </c>
      <c r="D80" s="1133" t="s">
        <v>89</v>
      </c>
      <c r="E80" s="1076"/>
      <c r="F80" s="1073"/>
      <c r="G80" s="1028">
        <f t="shared" si="1"/>
        <v>0</v>
      </c>
      <c r="H80" s="1028"/>
      <c r="I80" s="1028"/>
      <c r="K80" s="1019"/>
    </row>
    <row r="81" spans="1:9" s="1022" customFormat="1" ht="12.75" customHeight="1">
      <c r="A81" s="1134"/>
      <c r="B81" s="1131"/>
      <c r="C81" s="1129"/>
      <c r="D81" s="1133"/>
      <c r="E81" s="1076"/>
      <c r="F81" s="1073"/>
      <c r="G81" s="1028">
        <f t="shared" si="1"/>
        <v>0</v>
      </c>
      <c r="H81" s="1028"/>
      <c r="I81" s="1028"/>
    </row>
    <row r="82" spans="1:9" s="1022" customFormat="1" ht="12.75" customHeight="1">
      <c r="A82" s="1134">
        <v>4</v>
      </c>
      <c r="B82" s="1128" t="s">
        <v>614</v>
      </c>
      <c r="C82" s="1129"/>
      <c r="D82" s="1133"/>
      <c r="E82" s="1076"/>
      <c r="F82" s="1073"/>
      <c r="G82" s="1028">
        <f t="shared" si="1"/>
        <v>0</v>
      </c>
      <c r="H82" s="1028"/>
      <c r="I82" s="1028"/>
    </row>
    <row r="83" spans="1:9" s="1022" customFormat="1" ht="12.75" customHeight="1">
      <c r="A83" s="1132">
        <v>4.0999999999999996</v>
      </c>
      <c r="B83" s="1131" t="s">
        <v>615</v>
      </c>
      <c r="C83" s="1129">
        <v>1700.33</v>
      </c>
      <c r="D83" s="1133" t="s">
        <v>89</v>
      </c>
      <c r="E83" s="1076"/>
      <c r="F83" s="1073"/>
      <c r="G83" s="1028">
        <f t="shared" si="1"/>
        <v>0</v>
      </c>
      <c r="H83" s="1028"/>
      <c r="I83" s="1028"/>
    </row>
    <row r="84" spans="1:9" s="1022" customFormat="1" ht="12.75" customHeight="1">
      <c r="A84" s="1132">
        <v>4.2</v>
      </c>
      <c r="B84" s="1131" t="s">
        <v>616</v>
      </c>
      <c r="C84" s="1129">
        <v>327.64999999999998</v>
      </c>
      <c r="D84" s="1133" t="s">
        <v>89</v>
      </c>
      <c r="E84" s="1076"/>
      <c r="F84" s="1073"/>
      <c r="G84" s="1028">
        <f t="shared" si="1"/>
        <v>0</v>
      </c>
      <c r="H84" s="1028"/>
      <c r="I84" s="1028"/>
    </row>
    <row r="85" spans="1:9" s="1022" customFormat="1" ht="12.75" customHeight="1">
      <c r="A85" s="1127"/>
      <c r="B85" s="1131"/>
      <c r="C85" s="1129"/>
      <c r="D85" s="1130"/>
      <c r="E85" s="1074"/>
      <c r="F85" s="1073"/>
      <c r="G85" s="1028">
        <f t="shared" si="1"/>
        <v>0</v>
      </c>
      <c r="H85" s="1028"/>
      <c r="I85" s="1028"/>
    </row>
    <row r="86" spans="1:9" s="1022" customFormat="1" ht="12.75" customHeight="1">
      <c r="A86" s="1136">
        <v>5</v>
      </c>
      <c r="B86" s="1128" t="s">
        <v>570</v>
      </c>
      <c r="C86" s="1129"/>
      <c r="D86" s="1130"/>
      <c r="E86" s="1074"/>
      <c r="F86" s="1073"/>
      <c r="G86" s="1028">
        <f t="shared" si="1"/>
        <v>0</v>
      </c>
      <c r="H86" s="1028"/>
      <c r="I86" s="1028"/>
    </row>
    <row r="87" spans="1:9" s="1022" customFormat="1" ht="12.75" customHeight="1">
      <c r="A87" s="1137">
        <v>5.0999999999999996</v>
      </c>
      <c r="B87" s="1131" t="s">
        <v>617</v>
      </c>
      <c r="C87" s="1129">
        <v>1700.33</v>
      </c>
      <c r="D87" s="1133" t="s">
        <v>89</v>
      </c>
      <c r="E87" s="1074"/>
      <c r="F87" s="1073"/>
      <c r="G87" s="1028">
        <f t="shared" si="1"/>
        <v>0</v>
      </c>
      <c r="H87" s="1028"/>
      <c r="I87" s="1028"/>
    </row>
    <row r="88" spans="1:9" s="1022" customFormat="1" ht="12.75" customHeight="1">
      <c r="A88" s="1137">
        <v>5.2</v>
      </c>
      <c r="B88" s="1131" t="s">
        <v>618</v>
      </c>
      <c r="C88" s="1129">
        <v>327.64999999999998</v>
      </c>
      <c r="D88" s="1133" t="s">
        <v>89</v>
      </c>
      <c r="E88" s="1074"/>
      <c r="F88" s="1073"/>
      <c r="G88" s="1028">
        <f t="shared" si="1"/>
        <v>0</v>
      </c>
      <c r="H88" s="1028"/>
      <c r="I88" s="1028"/>
    </row>
    <row r="89" spans="1:9" s="1022" customFormat="1" ht="12.75" customHeight="1">
      <c r="A89" s="1136"/>
      <c r="B89" s="1131"/>
      <c r="C89" s="1129"/>
      <c r="D89" s="1130"/>
      <c r="E89" s="1074"/>
      <c r="F89" s="1073"/>
      <c r="G89" s="1028">
        <f t="shared" si="1"/>
        <v>0</v>
      </c>
      <c r="H89" s="1028"/>
      <c r="I89" s="1028"/>
    </row>
    <row r="90" spans="1:9" s="1022" customFormat="1" ht="30">
      <c r="A90" s="1134">
        <v>6</v>
      </c>
      <c r="B90" s="1128" t="s">
        <v>573</v>
      </c>
      <c r="C90" s="1129"/>
      <c r="D90" s="1130"/>
      <c r="E90" s="1074"/>
      <c r="F90" s="1073"/>
      <c r="G90" s="1028">
        <f t="shared" si="1"/>
        <v>0</v>
      </c>
      <c r="H90" s="1028"/>
      <c r="I90" s="1028"/>
    </row>
    <row r="91" spans="1:9" s="1022" customFormat="1" ht="12.75" customHeight="1">
      <c r="A91" s="1132">
        <v>6.1</v>
      </c>
      <c r="B91" s="1044" t="s">
        <v>619</v>
      </c>
      <c r="C91" s="1129">
        <v>1</v>
      </c>
      <c r="D91" s="1130" t="s">
        <v>549</v>
      </c>
      <c r="E91" s="1074"/>
      <c r="F91" s="1073"/>
      <c r="G91" s="1028">
        <f t="shared" si="1"/>
        <v>0</v>
      </c>
      <c r="H91" s="1028"/>
      <c r="I91" s="1028"/>
    </row>
    <row r="92" spans="1:9" s="1022" customFormat="1" ht="12" customHeight="1">
      <c r="A92" s="1132">
        <v>6.2</v>
      </c>
      <c r="B92" s="1044" t="s">
        <v>575</v>
      </c>
      <c r="C92" s="1129">
        <v>2</v>
      </c>
      <c r="D92" s="1130" t="s">
        <v>549</v>
      </c>
      <c r="E92" s="1074"/>
      <c r="F92" s="1073"/>
      <c r="G92" s="1028">
        <f t="shared" si="1"/>
        <v>0</v>
      </c>
      <c r="H92" s="1028"/>
      <c r="I92" s="1028"/>
    </row>
    <row r="93" spans="1:9" s="1022" customFormat="1">
      <c r="A93" s="1132">
        <v>6.3</v>
      </c>
      <c r="B93" s="1044" t="s">
        <v>576</v>
      </c>
      <c r="C93" s="1129">
        <v>2</v>
      </c>
      <c r="D93" s="1130" t="s">
        <v>549</v>
      </c>
      <c r="E93" s="1074"/>
      <c r="F93" s="1073"/>
      <c r="G93" s="1028">
        <f t="shared" si="1"/>
        <v>0</v>
      </c>
      <c r="H93" s="1028"/>
      <c r="I93" s="1028"/>
    </row>
    <row r="94" spans="1:9" s="1022" customFormat="1">
      <c r="A94" s="1132">
        <v>6.4</v>
      </c>
      <c r="B94" s="1044" t="s">
        <v>620</v>
      </c>
      <c r="C94" s="1129">
        <v>7</v>
      </c>
      <c r="D94" s="1130" t="s">
        <v>549</v>
      </c>
      <c r="E94" s="1074"/>
      <c r="F94" s="1073"/>
      <c r="G94" s="1028">
        <f t="shared" si="1"/>
        <v>0</v>
      </c>
      <c r="H94" s="1028"/>
      <c r="I94" s="1028"/>
    </row>
    <row r="95" spans="1:9" s="1022" customFormat="1">
      <c r="A95" s="1132">
        <v>6.5</v>
      </c>
      <c r="B95" s="1044" t="s">
        <v>621</v>
      </c>
      <c r="C95" s="1129">
        <v>15</v>
      </c>
      <c r="D95" s="1130" t="s">
        <v>549</v>
      </c>
      <c r="E95" s="1074"/>
      <c r="F95" s="1073"/>
      <c r="G95" s="1028">
        <f t="shared" si="1"/>
        <v>0</v>
      </c>
      <c r="H95" s="1028"/>
      <c r="I95" s="1028"/>
    </row>
    <row r="96" spans="1:9" s="1022" customFormat="1">
      <c r="A96" s="1156">
        <v>6.6</v>
      </c>
      <c r="B96" s="1157" t="s">
        <v>622</v>
      </c>
      <c r="C96" s="1141">
        <v>1</v>
      </c>
      <c r="D96" s="1142" t="s">
        <v>549</v>
      </c>
      <c r="E96" s="1079"/>
      <c r="F96" s="1078"/>
      <c r="G96" s="1028">
        <f t="shared" si="1"/>
        <v>0</v>
      </c>
      <c r="H96" s="1028"/>
      <c r="I96" s="1028"/>
    </row>
    <row r="97" spans="1:9" s="1022" customFormat="1">
      <c r="A97" s="1158">
        <v>6.7</v>
      </c>
      <c r="B97" s="1044" t="s">
        <v>623</v>
      </c>
      <c r="C97" s="1129">
        <v>1</v>
      </c>
      <c r="D97" s="1130" t="s">
        <v>549</v>
      </c>
      <c r="E97" s="1074"/>
      <c r="F97" s="1073"/>
      <c r="G97" s="1028">
        <f t="shared" si="1"/>
        <v>0</v>
      </c>
      <c r="H97" s="1028"/>
      <c r="I97" s="1028"/>
    </row>
    <row r="98" spans="1:9" s="1022" customFormat="1">
      <c r="A98" s="1158">
        <v>6.8</v>
      </c>
      <c r="B98" s="1044" t="s">
        <v>624</v>
      </c>
      <c r="C98" s="1129">
        <v>3</v>
      </c>
      <c r="D98" s="1130" t="s">
        <v>549</v>
      </c>
      <c r="E98" s="1074"/>
      <c r="F98" s="1073"/>
      <c r="G98" s="1028">
        <f t="shared" si="1"/>
        <v>0</v>
      </c>
      <c r="H98" s="1028"/>
      <c r="I98" s="1028"/>
    </row>
    <row r="99" spans="1:9" s="1022" customFormat="1">
      <c r="A99" s="1158">
        <v>6.9</v>
      </c>
      <c r="B99" s="1044" t="s">
        <v>625</v>
      </c>
      <c r="C99" s="1129">
        <v>2</v>
      </c>
      <c r="D99" s="1130" t="s">
        <v>549</v>
      </c>
      <c r="E99" s="1074"/>
      <c r="F99" s="1073"/>
      <c r="G99" s="1028">
        <f t="shared" si="1"/>
        <v>0</v>
      </c>
      <c r="H99" s="1028"/>
      <c r="I99" s="1028"/>
    </row>
    <row r="100" spans="1:9" s="1022" customFormat="1">
      <c r="A100" s="1159">
        <v>6.1</v>
      </c>
      <c r="B100" s="1044" t="s">
        <v>626</v>
      </c>
      <c r="C100" s="1129">
        <v>6</v>
      </c>
      <c r="D100" s="1130" t="s">
        <v>549</v>
      </c>
      <c r="E100" s="1074"/>
      <c r="F100" s="1073"/>
      <c r="G100" s="1028">
        <f t="shared" si="1"/>
        <v>0</v>
      </c>
      <c r="H100" s="1028"/>
      <c r="I100" s="1028"/>
    </row>
    <row r="101" spans="1:9" s="1022" customFormat="1">
      <c r="A101" s="1137"/>
      <c r="B101" s="1044"/>
      <c r="C101" s="1129"/>
      <c r="D101" s="1130"/>
      <c r="E101" s="1074"/>
      <c r="F101" s="1073"/>
      <c r="G101" s="1028">
        <f t="shared" si="1"/>
        <v>0</v>
      </c>
      <c r="H101" s="1028"/>
      <c r="I101" s="1028"/>
    </row>
    <row r="102" spans="1:9" s="1022" customFormat="1" ht="12.75" customHeight="1">
      <c r="A102" s="1134">
        <v>7</v>
      </c>
      <c r="B102" s="1138" t="s">
        <v>577</v>
      </c>
      <c r="C102" s="1129"/>
      <c r="D102" s="1130"/>
      <c r="E102" s="1074"/>
      <c r="F102" s="1073"/>
      <c r="G102" s="1028">
        <f t="shared" si="1"/>
        <v>0</v>
      </c>
      <c r="H102" s="1028"/>
      <c r="I102" s="1028"/>
    </row>
    <row r="103" spans="1:9" s="1022" customFormat="1" ht="12.75" customHeight="1">
      <c r="A103" s="1137">
        <v>7.1</v>
      </c>
      <c r="B103" s="1131" t="s">
        <v>627</v>
      </c>
      <c r="C103" s="1129">
        <v>15</v>
      </c>
      <c r="D103" s="1130" t="s">
        <v>549</v>
      </c>
      <c r="E103" s="1074"/>
      <c r="F103" s="1073"/>
      <c r="G103" s="1028">
        <f t="shared" si="1"/>
        <v>0</v>
      </c>
      <c r="H103" s="1028"/>
      <c r="I103" s="1028"/>
    </row>
    <row r="104" spans="1:9" s="1022" customFormat="1" ht="12.75" customHeight="1">
      <c r="A104" s="1137">
        <v>7.2</v>
      </c>
      <c r="B104" s="1131" t="s">
        <v>628</v>
      </c>
      <c r="C104" s="1129">
        <v>5</v>
      </c>
      <c r="D104" s="1130" t="s">
        <v>549</v>
      </c>
      <c r="E104" s="1074"/>
      <c r="F104" s="1073"/>
      <c r="G104" s="1028">
        <f t="shared" si="1"/>
        <v>0</v>
      </c>
      <c r="H104" s="1028"/>
      <c r="I104" s="1028"/>
    </row>
    <row r="105" spans="1:9" s="1022" customFormat="1" ht="12.75" customHeight="1">
      <c r="A105" s="1127"/>
      <c r="B105" s="1131"/>
      <c r="C105" s="1129"/>
      <c r="D105" s="1130"/>
      <c r="E105" s="1074"/>
      <c r="F105" s="1073"/>
      <c r="G105" s="1028">
        <f t="shared" si="1"/>
        <v>0</v>
      </c>
      <c r="H105" s="1028"/>
      <c r="I105" s="1028"/>
    </row>
    <row r="106" spans="1:9" s="1022" customFormat="1" ht="12.75" customHeight="1">
      <c r="A106" s="1134">
        <v>8</v>
      </c>
      <c r="B106" s="1128" t="s">
        <v>579</v>
      </c>
      <c r="C106" s="1129"/>
      <c r="D106" s="1130"/>
      <c r="E106" s="1074"/>
      <c r="F106" s="1073"/>
      <c r="G106" s="1028">
        <f t="shared" si="1"/>
        <v>0</v>
      </c>
      <c r="H106" s="1028"/>
      <c r="I106" s="1028"/>
    </row>
    <row r="107" spans="1:9" s="1022" customFormat="1">
      <c r="A107" s="1137">
        <v>8.1</v>
      </c>
      <c r="B107" s="1132" t="s">
        <v>629</v>
      </c>
      <c r="C107" s="1129">
        <v>1</v>
      </c>
      <c r="D107" s="1130" t="s">
        <v>549</v>
      </c>
      <c r="E107" s="1074"/>
      <c r="F107" s="1073"/>
      <c r="G107" s="1028">
        <f t="shared" si="1"/>
        <v>0</v>
      </c>
      <c r="H107" s="1028"/>
      <c r="I107" s="1028"/>
    </row>
    <row r="108" spans="1:9" s="1022" customFormat="1">
      <c r="A108" s="1137">
        <v>8.1999999999999993</v>
      </c>
      <c r="B108" s="1132" t="s">
        <v>630</v>
      </c>
      <c r="C108" s="1129">
        <v>6</v>
      </c>
      <c r="D108" s="1130" t="s">
        <v>549</v>
      </c>
      <c r="E108" s="1074"/>
      <c r="F108" s="1073"/>
      <c r="G108" s="1028">
        <f t="shared" si="1"/>
        <v>0</v>
      </c>
      <c r="H108" s="1028"/>
      <c r="I108" s="1028"/>
    </row>
    <row r="109" spans="1:9" s="1022" customFormat="1" ht="12.75" customHeight="1">
      <c r="A109" s="1137">
        <v>8.3000000000000007</v>
      </c>
      <c r="B109" s="1132" t="s">
        <v>584</v>
      </c>
      <c r="C109" s="1129">
        <v>7</v>
      </c>
      <c r="D109" s="1130" t="s">
        <v>549</v>
      </c>
      <c r="E109" s="1074"/>
      <c r="F109" s="1073"/>
      <c r="G109" s="1028">
        <f t="shared" si="1"/>
        <v>0</v>
      </c>
      <c r="H109" s="1028"/>
      <c r="I109" s="1028"/>
    </row>
    <row r="110" spans="1:9" s="1022" customFormat="1" ht="12.75" customHeight="1">
      <c r="A110" s="1127"/>
      <c r="B110" s="1131"/>
      <c r="C110" s="1129"/>
      <c r="D110" s="1130"/>
      <c r="E110" s="1074"/>
      <c r="F110" s="1073"/>
      <c r="G110" s="1028">
        <f t="shared" si="1"/>
        <v>0</v>
      </c>
      <c r="H110" s="1028"/>
      <c r="I110" s="1028"/>
    </row>
    <row r="111" spans="1:9" s="1022" customFormat="1" ht="12.75" customHeight="1">
      <c r="A111" s="1136">
        <v>9</v>
      </c>
      <c r="B111" s="1143" t="s">
        <v>587</v>
      </c>
      <c r="C111" s="1129"/>
      <c r="D111" s="1130"/>
      <c r="E111" s="1074"/>
      <c r="F111" s="1073"/>
      <c r="G111" s="1028">
        <f t="shared" si="1"/>
        <v>0</v>
      </c>
      <c r="H111" s="1028"/>
      <c r="I111" s="1028"/>
    </row>
    <row r="112" spans="1:9" s="1022" customFormat="1" ht="30">
      <c r="A112" s="1144">
        <v>9.1</v>
      </c>
      <c r="B112" s="1134" t="s">
        <v>631</v>
      </c>
      <c r="C112" s="1145"/>
      <c r="D112" s="1146"/>
      <c r="E112" s="1074"/>
      <c r="F112" s="1073"/>
      <c r="G112" s="1028">
        <f t="shared" si="1"/>
        <v>0</v>
      </c>
      <c r="H112" s="1028"/>
      <c r="I112" s="1028"/>
    </row>
    <row r="113" spans="1:9" s="1022" customFormat="1" ht="12.75" customHeight="1">
      <c r="A113" s="1147" t="s">
        <v>632</v>
      </c>
      <c r="B113" s="1132" t="s">
        <v>554</v>
      </c>
      <c r="C113" s="1148">
        <v>1</v>
      </c>
      <c r="D113" s="1149" t="s">
        <v>63</v>
      </c>
      <c r="E113" s="1074"/>
      <c r="F113" s="1073"/>
      <c r="G113" s="1028">
        <f t="shared" si="1"/>
        <v>0</v>
      </c>
      <c r="H113" s="1028"/>
      <c r="I113" s="1028"/>
    </row>
    <row r="114" spans="1:9" s="1022" customFormat="1" ht="14.25" customHeight="1">
      <c r="A114" s="1147" t="s">
        <v>633</v>
      </c>
      <c r="B114" s="1132" t="s">
        <v>634</v>
      </c>
      <c r="C114" s="1150">
        <v>85</v>
      </c>
      <c r="D114" s="1151" t="s">
        <v>89</v>
      </c>
      <c r="E114" s="1074"/>
      <c r="F114" s="1073"/>
      <c r="G114" s="1028">
        <f t="shared" si="1"/>
        <v>0</v>
      </c>
      <c r="H114" s="1028"/>
      <c r="I114" s="1028"/>
    </row>
    <row r="115" spans="1:9" s="1022" customFormat="1" ht="28.5">
      <c r="A115" s="1147" t="s">
        <v>635</v>
      </c>
      <c r="B115" s="1132" t="s">
        <v>636</v>
      </c>
      <c r="C115" s="1150">
        <v>4</v>
      </c>
      <c r="D115" s="1130" t="s">
        <v>549</v>
      </c>
      <c r="E115" s="1074"/>
      <c r="F115" s="1073"/>
      <c r="G115" s="1028">
        <f t="shared" si="1"/>
        <v>0</v>
      </c>
      <c r="H115" s="1028"/>
      <c r="I115" s="1028"/>
    </row>
    <row r="116" spans="1:9" s="1022" customFormat="1" ht="12.75" customHeight="1">
      <c r="A116" s="1147" t="s">
        <v>637</v>
      </c>
      <c r="B116" s="1135" t="s">
        <v>638</v>
      </c>
      <c r="C116" s="1150">
        <v>2</v>
      </c>
      <c r="D116" s="1130" t="s">
        <v>549</v>
      </c>
      <c r="E116" s="1074"/>
      <c r="F116" s="1073"/>
      <c r="G116" s="1028">
        <f t="shared" si="1"/>
        <v>0</v>
      </c>
      <c r="H116" s="1028"/>
      <c r="I116" s="1028"/>
    </row>
    <row r="117" spans="1:9" s="1022" customFormat="1" ht="12.75" customHeight="1">
      <c r="A117" s="1147" t="s">
        <v>639</v>
      </c>
      <c r="B117" s="1135" t="s">
        <v>640</v>
      </c>
      <c r="C117" s="1150">
        <v>4</v>
      </c>
      <c r="D117" s="1130" t="s">
        <v>549</v>
      </c>
      <c r="E117" s="1074"/>
      <c r="F117" s="1073"/>
      <c r="G117" s="1028">
        <f t="shared" si="1"/>
        <v>0</v>
      </c>
      <c r="H117" s="1028"/>
      <c r="I117" s="1028"/>
    </row>
    <row r="118" spans="1:9" s="1022" customFormat="1" ht="12.75" customHeight="1">
      <c r="A118" s="1147" t="s">
        <v>641</v>
      </c>
      <c r="B118" s="1135" t="s">
        <v>642</v>
      </c>
      <c r="C118" s="1150">
        <v>4</v>
      </c>
      <c r="D118" s="1130" t="s">
        <v>549</v>
      </c>
      <c r="E118" s="1074"/>
      <c r="F118" s="1073"/>
      <c r="G118" s="1028">
        <f t="shared" si="1"/>
        <v>0</v>
      </c>
      <c r="H118" s="1028"/>
      <c r="I118" s="1028"/>
    </row>
    <row r="119" spans="1:9" s="1022" customFormat="1" ht="12.75" customHeight="1">
      <c r="A119" s="1147" t="s">
        <v>643</v>
      </c>
      <c r="B119" s="1135" t="s">
        <v>644</v>
      </c>
      <c r="C119" s="1150">
        <v>60.35</v>
      </c>
      <c r="D119" s="1133" t="s">
        <v>560</v>
      </c>
      <c r="E119" s="1074"/>
      <c r="F119" s="1073"/>
      <c r="G119" s="1028">
        <f t="shared" si="1"/>
        <v>0</v>
      </c>
      <c r="H119" s="1028"/>
      <c r="I119" s="1028"/>
    </row>
    <row r="120" spans="1:9" s="1022" customFormat="1" ht="12.75" customHeight="1">
      <c r="A120" s="1147" t="s">
        <v>645</v>
      </c>
      <c r="B120" s="1135" t="s">
        <v>603</v>
      </c>
      <c r="C120" s="1150">
        <v>56.76</v>
      </c>
      <c r="D120" s="1133" t="s">
        <v>560</v>
      </c>
      <c r="E120" s="1074"/>
      <c r="F120" s="1073"/>
      <c r="G120" s="1028">
        <f t="shared" si="1"/>
        <v>0</v>
      </c>
      <c r="H120" s="1028"/>
      <c r="I120" s="1028"/>
    </row>
    <row r="121" spans="1:9" s="1022" customFormat="1" ht="12.75" customHeight="1">
      <c r="A121" s="1147" t="s">
        <v>646</v>
      </c>
      <c r="B121" s="1132" t="s">
        <v>605</v>
      </c>
      <c r="C121" s="1150">
        <v>4.3099999999999996</v>
      </c>
      <c r="D121" s="1133" t="s">
        <v>560</v>
      </c>
      <c r="E121" s="1074"/>
      <c r="F121" s="1073"/>
      <c r="G121" s="1028">
        <f t="shared" si="1"/>
        <v>0</v>
      </c>
      <c r="H121" s="1028"/>
      <c r="I121" s="1028"/>
    </row>
    <row r="122" spans="1:9" s="1022" customFormat="1" ht="12.75" customHeight="1">
      <c r="A122" s="1147" t="s">
        <v>647</v>
      </c>
      <c r="B122" s="1135" t="s">
        <v>607</v>
      </c>
      <c r="C122" s="1150">
        <v>1</v>
      </c>
      <c r="D122" s="1130" t="s">
        <v>549</v>
      </c>
      <c r="E122" s="1074"/>
      <c r="F122" s="1073"/>
      <c r="G122" s="1028">
        <f t="shared" si="1"/>
        <v>0</v>
      </c>
      <c r="H122" s="1028"/>
      <c r="I122" s="1028"/>
    </row>
    <row r="123" spans="1:9" s="1022" customFormat="1" ht="12.75" customHeight="1">
      <c r="A123" s="1147"/>
      <c r="B123" s="1160"/>
      <c r="C123" s="1150"/>
      <c r="D123" s="1151"/>
      <c r="E123" s="1074"/>
      <c r="F123" s="1073"/>
      <c r="G123" s="1028">
        <f t="shared" si="1"/>
        <v>0</v>
      </c>
      <c r="H123" s="1028"/>
      <c r="I123" s="1028"/>
    </row>
    <row r="124" spans="1:9" s="1022" customFormat="1" ht="12.75" customHeight="1">
      <c r="A124" s="1136">
        <v>10</v>
      </c>
      <c r="B124" s="1161" t="s">
        <v>648</v>
      </c>
      <c r="C124" s="1129"/>
      <c r="D124" s="1130"/>
      <c r="E124" s="1074"/>
      <c r="F124" s="1073"/>
      <c r="G124" s="1028">
        <f t="shared" si="1"/>
        <v>0</v>
      </c>
      <c r="H124" s="1028"/>
      <c r="I124" s="1028"/>
    </row>
    <row r="125" spans="1:9" s="1022" customFormat="1" ht="34.5" customHeight="1">
      <c r="A125" s="1137">
        <v>10.1</v>
      </c>
      <c r="B125" s="1162" t="s">
        <v>649</v>
      </c>
      <c r="C125" s="1129">
        <v>90</v>
      </c>
      <c r="D125" s="1130" t="s">
        <v>549</v>
      </c>
      <c r="E125" s="1074"/>
      <c r="F125" s="1073"/>
      <c r="G125" s="1028">
        <f t="shared" si="1"/>
        <v>0</v>
      </c>
      <c r="H125" s="1028"/>
      <c r="I125" s="1028"/>
    </row>
    <row r="126" spans="1:9" s="1022" customFormat="1" ht="35.25">
      <c r="A126" s="1137">
        <v>10.199999999999999</v>
      </c>
      <c r="B126" s="1162" t="s">
        <v>650</v>
      </c>
      <c r="C126" s="1129">
        <v>10</v>
      </c>
      <c r="D126" s="1130" t="s">
        <v>549</v>
      </c>
      <c r="E126" s="1074"/>
      <c r="F126" s="1073"/>
      <c r="G126" s="1028">
        <f t="shared" si="1"/>
        <v>0</v>
      </c>
      <c r="H126" s="1028"/>
      <c r="I126" s="1028"/>
    </row>
    <row r="127" spans="1:9" s="1022" customFormat="1" ht="12.75" customHeight="1">
      <c r="A127" s="1152"/>
      <c r="B127" s="1153" t="s">
        <v>651</v>
      </c>
      <c r="C127" s="1154"/>
      <c r="D127" s="1155"/>
      <c r="E127" s="1082"/>
      <c r="F127" s="1084"/>
      <c r="G127" s="1028">
        <f t="shared" si="1"/>
        <v>0</v>
      </c>
      <c r="H127" s="1031"/>
      <c r="I127" s="1031"/>
    </row>
    <row r="128" spans="1:9" s="1022" customFormat="1" ht="12.75" customHeight="1">
      <c r="A128" s="1163"/>
      <c r="B128" s="1164"/>
      <c r="C128" s="1165"/>
      <c r="D128" s="1166"/>
      <c r="E128" s="1085"/>
      <c r="F128" s="1086"/>
      <c r="G128" s="1028">
        <f t="shared" si="1"/>
        <v>0</v>
      </c>
      <c r="H128" s="1027"/>
      <c r="I128" s="1027"/>
    </row>
    <row r="129" spans="1:9" s="1022" customFormat="1" ht="30">
      <c r="A129" s="1127" t="s">
        <v>652</v>
      </c>
      <c r="B129" s="1134" t="s">
        <v>653</v>
      </c>
      <c r="C129" s="1134"/>
      <c r="D129" s="1167"/>
      <c r="E129" s="1087"/>
      <c r="F129" s="1087"/>
      <c r="G129" s="1028">
        <f t="shared" ref="G129:G193" si="2">+C129*E129</f>
        <v>0</v>
      </c>
      <c r="H129" s="1032"/>
      <c r="I129" s="1032"/>
    </row>
    <row r="130" spans="1:9" s="1022" customFormat="1" ht="12.75" customHeight="1">
      <c r="A130" s="1137"/>
      <c r="B130" s="1162"/>
      <c r="C130" s="1168"/>
      <c r="D130" s="1151"/>
      <c r="E130" s="1089"/>
      <c r="F130" s="1089"/>
      <c r="G130" s="1028">
        <f t="shared" si="2"/>
        <v>0</v>
      </c>
      <c r="H130" s="1033"/>
      <c r="I130" s="1033"/>
    </row>
    <row r="131" spans="1:9" s="1022" customFormat="1" ht="12.75" customHeight="1">
      <c r="A131" s="1136" t="s">
        <v>654</v>
      </c>
      <c r="B131" s="1143" t="s">
        <v>292</v>
      </c>
      <c r="C131" s="1168"/>
      <c r="D131" s="1151"/>
      <c r="E131" s="1089"/>
      <c r="F131" s="1089"/>
      <c r="G131" s="1028">
        <f t="shared" si="2"/>
        <v>0</v>
      </c>
      <c r="H131" s="1033"/>
      <c r="I131" s="1033"/>
    </row>
    <row r="132" spans="1:9" s="1022" customFormat="1" ht="12.75" customHeight="1">
      <c r="A132" s="1136"/>
      <c r="B132" s="1143"/>
      <c r="C132" s="1168"/>
      <c r="D132" s="1151"/>
      <c r="E132" s="1073"/>
      <c r="F132" s="1089"/>
      <c r="G132" s="1028">
        <f t="shared" si="2"/>
        <v>0</v>
      </c>
      <c r="H132" s="1033"/>
      <c r="I132" s="1033"/>
    </row>
    <row r="133" spans="1:9" s="1022" customFormat="1" ht="12.75" customHeight="1">
      <c r="A133" s="1137">
        <v>1</v>
      </c>
      <c r="B133" s="1162" t="s">
        <v>554</v>
      </c>
      <c r="C133" s="1169">
        <v>1</v>
      </c>
      <c r="D133" s="1151" t="s">
        <v>63</v>
      </c>
      <c r="E133" s="1073"/>
      <c r="F133" s="1090"/>
      <c r="G133" s="1028">
        <f t="shared" si="2"/>
        <v>0</v>
      </c>
      <c r="H133" s="1034"/>
      <c r="I133" s="1034"/>
    </row>
    <row r="134" spans="1:9" s="1022" customFormat="1" ht="12.75" customHeight="1">
      <c r="A134" s="1137"/>
      <c r="B134" s="1162"/>
      <c r="C134" s="1169"/>
      <c r="D134" s="1151"/>
      <c r="E134" s="1073"/>
      <c r="F134" s="1090"/>
      <c r="G134" s="1028">
        <f t="shared" si="2"/>
        <v>0</v>
      </c>
      <c r="H134" s="1034"/>
      <c r="I134" s="1034"/>
    </row>
    <row r="135" spans="1:9" s="1022" customFormat="1" ht="12.75" customHeight="1">
      <c r="A135" s="1136">
        <v>2</v>
      </c>
      <c r="B135" s="1143" t="s">
        <v>294</v>
      </c>
      <c r="C135" s="1169"/>
      <c r="D135" s="1151"/>
      <c r="E135" s="1073"/>
      <c r="F135" s="1090"/>
      <c r="G135" s="1028">
        <f t="shared" si="2"/>
        <v>0</v>
      </c>
      <c r="H135" s="1034"/>
      <c r="I135" s="1034"/>
    </row>
    <row r="136" spans="1:9" s="1022" customFormat="1" ht="12.75" customHeight="1">
      <c r="A136" s="1137">
        <f>A135+0.1</f>
        <v>2.1</v>
      </c>
      <c r="B136" s="1132" t="s">
        <v>555</v>
      </c>
      <c r="C136" s="1169">
        <v>356.73</v>
      </c>
      <c r="D136" s="1133" t="s">
        <v>556</v>
      </c>
      <c r="E136" s="1073"/>
      <c r="F136" s="1090"/>
      <c r="G136" s="1028">
        <f t="shared" si="2"/>
        <v>0</v>
      </c>
      <c r="H136" s="1034"/>
      <c r="I136" s="1034"/>
    </row>
    <row r="137" spans="1:9" s="1022" customFormat="1" ht="12.75" customHeight="1">
      <c r="A137" s="1137">
        <f>A136+0.1</f>
        <v>2.2000000000000002</v>
      </c>
      <c r="B137" s="1132" t="s">
        <v>655</v>
      </c>
      <c r="C137" s="1169">
        <v>149.25</v>
      </c>
      <c r="D137" s="1133" t="s">
        <v>562</v>
      </c>
      <c r="E137" s="1073"/>
      <c r="F137" s="1090"/>
      <c r="G137" s="1028">
        <f t="shared" si="2"/>
        <v>0</v>
      </c>
      <c r="H137" s="1034"/>
      <c r="I137" s="1034"/>
    </row>
    <row r="138" spans="1:9" s="1022" customFormat="1" ht="28.5">
      <c r="A138" s="1139">
        <f>A137+0.1</f>
        <v>2.2999999999999998</v>
      </c>
      <c r="B138" s="1170" t="s">
        <v>563</v>
      </c>
      <c r="C138" s="1171">
        <v>248.98</v>
      </c>
      <c r="D138" s="1172" t="s">
        <v>564</v>
      </c>
      <c r="E138" s="1078"/>
      <c r="F138" s="1091"/>
      <c r="G138" s="1028">
        <f t="shared" si="2"/>
        <v>0</v>
      </c>
      <c r="H138" s="1034"/>
      <c r="I138" s="1034"/>
    </row>
    <row r="139" spans="1:9" s="1022" customFormat="1" ht="12.75" customHeight="1">
      <c r="A139" s="1137"/>
      <c r="B139" s="1162"/>
      <c r="C139" s="1169"/>
      <c r="D139" s="1151"/>
      <c r="E139" s="1073"/>
      <c r="F139" s="1090"/>
      <c r="G139" s="1028">
        <f t="shared" si="2"/>
        <v>0</v>
      </c>
      <c r="H139" s="1034"/>
      <c r="I139" s="1034"/>
    </row>
    <row r="140" spans="1:9" s="1022" customFormat="1" ht="12.75" customHeight="1">
      <c r="A140" s="1136" t="s">
        <v>656</v>
      </c>
      <c r="B140" s="1143" t="s">
        <v>657</v>
      </c>
      <c r="C140" s="1168"/>
      <c r="D140" s="1151"/>
      <c r="E140" s="1073"/>
      <c r="F140" s="1090"/>
      <c r="G140" s="1028">
        <f t="shared" si="2"/>
        <v>0</v>
      </c>
      <c r="H140" s="1034"/>
      <c r="I140" s="1034"/>
    </row>
    <row r="141" spans="1:9" s="1022" customFormat="1" ht="12.75" customHeight="1">
      <c r="A141" s="1136"/>
      <c r="B141" s="1143"/>
      <c r="C141" s="1168"/>
      <c r="D141" s="1151"/>
      <c r="E141" s="1073"/>
      <c r="F141" s="1090"/>
      <c r="G141" s="1028">
        <f t="shared" si="2"/>
        <v>0</v>
      </c>
      <c r="H141" s="1034"/>
      <c r="I141" s="1034"/>
    </row>
    <row r="142" spans="1:9" s="1022" customFormat="1" ht="12.75" customHeight="1">
      <c r="A142" s="1136">
        <v>1</v>
      </c>
      <c r="B142" s="1143" t="s">
        <v>658</v>
      </c>
      <c r="C142" s="1168"/>
      <c r="D142" s="1151"/>
      <c r="E142" s="1073"/>
      <c r="F142" s="1090"/>
      <c r="G142" s="1028">
        <f t="shared" si="2"/>
        <v>0</v>
      </c>
      <c r="H142" s="1034"/>
      <c r="I142" s="1034"/>
    </row>
    <row r="143" spans="1:9" s="1022" customFormat="1" ht="16.5">
      <c r="A143" s="1137">
        <v>1.1000000000000001</v>
      </c>
      <c r="B143" s="1132" t="s">
        <v>659</v>
      </c>
      <c r="C143" s="1168">
        <v>0.48</v>
      </c>
      <c r="D143" s="1133" t="s">
        <v>560</v>
      </c>
      <c r="E143" s="1073"/>
      <c r="F143" s="1090"/>
      <c r="G143" s="1028">
        <f t="shared" si="2"/>
        <v>0</v>
      </c>
      <c r="H143" s="1034"/>
      <c r="I143" s="1034"/>
    </row>
    <row r="144" spans="1:9" s="1022" customFormat="1" ht="16.5">
      <c r="A144" s="1137">
        <v>1.2</v>
      </c>
      <c r="B144" s="1132" t="s">
        <v>660</v>
      </c>
      <c r="C144" s="1168">
        <v>13.34</v>
      </c>
      <c r="D144" s="1133" t="s">
        <v>560</v>
      </c>
      <c r="E144" s="1073"/>
      <c r="F144" s="1090"/>
      <c r="G144" s="1028">
        <f t="shared" si="2"/>
        <v>0</v>
      </c>
      <c r="H144" s="1034"/>
      <c r="I144" s="1034"/>
    </row>
    <row r="145" spans="1:9" s="1022" customFormat="1" ht="16.5">
      <c r="A145" s="1137">
        <v>1.3</v>
      </c>
      <c r="B145" s="1132" t="s">
        <v>661</v>
      </c>
      <c r="C145" s="1168">
        <v>6.61</v>
      </c>
      <c r="D145" s="1133" t="s">
        <v>560</v>
      </c>
      <c r="E145" s="1073"/>
      <c r="F145" s="1090"/>
      <c r="G145" s="1028">
        <f t="shared" si="2"/>
        <v>0</v>
      </c>
      <c r="H145" s="1034"/>
      <c r="I145" s="1034"/>
    </row>
    <row r="146" spans="1:9" s="1022" customFormat="1" ht="16.5">
      <c r="A146" s="1137">
        <v>1.4</v>
      </c>
      <c r="B146" s="1132" t="s">
        <v>662</v>
      </c>
      <c r="C146" s="1168">
        <v>0.37</v>
      </c>
      <c r="D146" s="1133" t="s">
        <v>560</v>
      </c>
      <c r="E146" s="1073"/>
      <c r="F146" s="1090"/>
      <c r="G146" s="1028">
        <f t="shared" si="2"/>
        <v>0</v>
      </c>
      <c r="H146" s="1034"/>
      <c r="I146" s="1034"/>
    </row>
    <row r="147" spans="1:9" s="1022" customFormat="1" ht="16.5">
      <c r="A147" s="1137">
        <v>1.5</v>
      </c>
      <c r="B147" s="1132" t="s">
        <v>663</v>
      </c>
      <c r="C147" s="1168">
        <v>1.37</v>
      </c>
      <c r="D147" s="1133" t="s">
        <v>560</v>
      </c>
      <c r="E147" s="1073"/>
      <c r="F147" s="1090"/>
      <c r="G147" s="1028">
        <f t="shared" si="2"/>
        <v>0</v>
      </c>
      <c r="H147" s="1034"/>
      <c r="I147" s="1034"/>
    </row>
    <row r="148" spans="1:9" s="1022" customFormat="1" ht="16.5">
      <c r="A148" s="1137">
        <v>1.6</v>
      </c>
      <c r="B148" s="1132" t="s">
        <v>664</v>
      </c>
      <c r="C148" s="1168">
        <v>0.85</v>
      </c>
      <c r="D148" s="1133" t="s">
        <v>560</v>
      </c>
      <c r="E148" s="1073"/>
      <c r="F148" s="1090"/>
      <c r="G148" s="1028">
        <f t="shared" si="2"/>
        <v>0</v>
      </c>
      <c r="H148" s="1034"/>
      <c r="I148" s="1034"/>
    </row>
    <row r="149" spans="1:9" s="1022" customFormat="1" ht="16.5">
      <c r="A149" s="1137">
        <v>1.7</v>
      </c>
      <c r="B149" s="1132" t="s">
        <v>665</v>
      </c>
      <c r="C149" s="1168">
        <v>21.35</v>
      </c>
      <c r="D149" s="1133" t="s">
        <v>560</v>
      </c>
      <c r="E149" s="1073"/>
      <c r="F149" s="1090"/>
      <c r="G149" s="1028">
        <f t="shared" si="2"/>
        <v>0</v>
      </c>
      <c r="H149" s="1034"/>
      <c r="I149" s="1034"/>
    </row>
    <row r="150" spans="1:9" s="1022" customFormat="1" ht="16.5">
      <c r="A150" s="1137">
        <v>1.8</v>
      </c>
      <c r="B150" s="1132" t="s">
        <v>666</v>
      </c>
      <c r="C150" s="1168">
        <v>8.44</v>
      </c>
      <c r="D150" s="1133" t="s">
        <v>560</v>
      </c>
      <c r="E150" s="1073"/>
      <c r="F150" s="1090"/>
      <c r="G150" s="1028">
        <f t="shared" si="2"/>
        <v>0</v>
      </c>
      <c r="H150" s="1034"/>
      <c r="I150" s="1034"/>
    </row>
    <row r="151" spans="1:9" s="1022" customFormat="1" ht="17.25">
      <c r="A151" s="1137">
        <v>1.9</v>
      </c>
      <c r="B151" s="1132" t="s">
        <v>667</v>
      </c>
      <c r="C151" s="1168">
        <v>3.72</v>
      </c>
      <c r="D151" s="1133" t="s">
        <v>560</v>
      </c>
      <c r="E151" s="1073"/>
      <c r="F151" s="1090"/>
      <c r="G151" s="1028">
        <f t="shared" si="2"/>
        <v>0</v>
      </c>
      <c r="H151" s="1034"/>
      <c r="I151" s="1034"/>
    </row>
    <row r="152" spans="1:9" s="1022" customFormat="1" ht="12.75" customHeight="1">
      <c r="A152" s="1137"/>
      <c r="B152" s="1162"/>
      <c r="C152" s="1168"/>
      <c r="D152" s="1151"/>
      <c r="E152" s="1073"/>
      <c r="F152" s="1090"/>
      <c r="G152" s="1028">
        <f t="shared" si="2"/>
        <v>0</v>
      </c>
      <c r="H152" s="1034"/>
      <c r="I152" s="1034"/>
    </row>
    <row r="153" spans="1:9" ht="15">
      <c r="A153" s="1136">
        <v>2</v>
      </c>
      <c r="B153" s="1143" t="s">
        <v>668</v>
      </c>
      <c r="C153" s="1168"/>
      <c r="D153" s="1151"/>
      <c r="E153" s="1073"/>
      <c r="F153" s="1090"/>
      <c r="G153" s="1028">
        <f t="shared" si="2"/>
        <v>0</v>
      </c>
      <c r="H153" s="1034"/>
      <c r="I153" s="1034"/>
    </row>
    <row r="154" spans="1:9" ht="15">
      <c r="A154" s="1137">
        <f>A153+0.1</f>
        <v>2.1</v>
      </c>
      <c r="B154" s="1132" t="s">
        <v>669</v>
      </c>
      <c r="C154" s="1169">
        <v>49</v>
      </c>
      <c r="D154" s="1151" t="s">
        <v>558</v>
      </c>
      <c r="E154" s="1073"/>
      <c r="F154" s="1090"/>
      <c r="G154" s="1028">
        <f t="shared" si="2"/>
        <v>0</v>
      </c>
      <c r="H154" s="1034"/>
      <c r="I154" s="1034"/>
    </row>
    <row r="155" spans="1:9" ht="15">
      <c r="A155" s="1137">
        <f>A154+0.1</f>
        <v>2.2000000000000002</v>
      </c>
      <c r="B155" s="1132" t="s">
        <v>670</v>
      </c>
      <c r="C155" s="1169">
        <v>85.4</v>
      </c>
      <c r="D155" s="1151" t="s">
        <v>558</v>
      </c>
      <c r="E155" s="1073"/>
      <c r="F155" s="1090"/>
      <c r="G155" s="1028">
        <f t="shared" si="2"/>
        <v>0</v>
      </c>
      <c r="H155" s="1034"/>
      <c r="I155" s="1034"/>
    </row>
    <row r="156" spans="1:9">
      <c r="A156" s="1137">
        <f>A155+0.1</f>
        <v>2.2999999999999998</v>
      </c>
      <c r="B156" s="1132" t="s">
        <v>671</v>
      </c>
      <c r="C156" s="1169">
        <v>38.799999999999997</v>
      </c>
      <c r="D156" s="1151" t="s">
        <v>89</v>
      </c>
      <c r="E156" s="1073"/>
      <c r="F156" s="1090"/>
      <c r="G156" s="1028">
        <f t="shared" si="2"/>
        <v>0</v>
      </c>
      <c r="H156" s="1034"/>
      <c r="I156" s="1034"/>
    </row>
    <row r="157" spans="1:9" ht="15">
      <c r="A157" s="1137">
        <f>A156+0.1</f>
        <v>2.4</v>
      </c>
      <c r="B157" s="1132" t="s">
        <v>672</v>
      </c>
      <c r="C157" s="1169">
        <v>40.81</v>
      </c>
      <c r="D157" s="1151" t="s">
        <v>558</v>
      </c>
      <c r="E157" s="1073"/>
      <c r="F157" s="1090"/>
      <c r="G157" s="1028">
        <f t="shared" si="2"/>
        <v>0</v>
      </c>
      <c r="H157" s="1034"/>
      <c r="I157" s="1034"/>
    </row>
    <row r="158" spans="1:9">
      <c r="A158" s="1137">
        <f>A157+0.1</f>
        <v>2.5</v>
      </c>
      <c r="B158" s="1132" t="s">
        <v>673</v>
      </c>
      <c r="C158" s="1169">
        <v>28</v>
      </c>
      <c r="D158" s="1151" t="s">
        <v>89</v>
      </c>
      <c r="E158" s="1073"/>
      <c r="F158" s="1090"/>
      <c r="G158" s="1028">
        <f t="shared" si="2"/>
        <v>0</v>
      </c>
      <c r="H158" s="1034"/>
      <c r="I158" s="1034"/>
    </row>
    <row r="159" spans="1:9">
      <c r="A159" s="1137"/>
      <c r="B159" s="1162"/>
      <c r="C159" s="1168"/>
      <c r="D159" s="1151"/>
      <c r="E159" s="1073"/>
      <c r="F159" s="1090"/>
      <c r="G159" s="1028">
        <f t="shared" si="2"/>
        <v>0</v>
      </c>
      <c r="H159" s="1034"/>
      <c r="I159" s="1034"/>
    </row>
    <row r="160" spans="1:9" ht="15">
      <c r="A160" s="1136">
        <v>3</v>
      </c>
      <c r="B160" s="1143" t="s">
        <v>674</v>
      </c>
      <c r="C160" s="1173"/>
      <c r="D160" s="1174"/>
      <c r="E160" s="1073"/>
      <c r="F160" s="1090"/>
      <c r="G160" s="1028">
        <f t="shared" si="2"/>
        <v>0</v>
      </c>
      <c r="H160" s="1034"/>
      <c r="I160" s="1034"/>
    </row>
    <row r="161" spans="1:9" ht="15">
      <c r="A161" s="1137">
        <f>A160+0.1</f>
        <v>3.1</v>
      </c>
      <c r="B161" s="1162" t="s">
        <v>675</v>
      </c>
      <c r="C161" s="1169">
        <v>52.81</v>
      </c>
      <c r="D161" s="1133" t="s">
        <v>560</v>
      </c>
      <c r="E161" s="1073"/>
      <c r="F161" s="1090"/>
      <c r="G161" s="1028">
        <f t="shared" si="2"/>
        <v>0</v>
      </c>
      <c r="H161" s="1034"/>
      <c r="I161" s="1034"/>
    </row>
    <row r="162" spans="1:9">
      <c r="A162" s="1137">
        <v>3.2</v>
      </c>
      <c r="B162" s="1135" t="s">
        <v>676</v>
      </c>
      <c r="C162" s="1169">
        <v>30</v>
      </c>
      <c r="D162" s="1151" t="s">
        <v>89</v>
      </c>
      <c r="E162" s="1073"/>
      <c r="F162" s="1090"/>
      <c r="G162" s="1028">
        <f t="shared" si="2"/>
        <v>0</v>
      </c>
      <c r="H162" s="1034"/>
      <c r="I162" s="1034"/>
    </row>
    <row r="163" spans="1:9">
      <c r="A163" s="1137"/>
      <c r="B163" s="1162"/>
      <c r="C163" s="1169"/>
      <c r="D163" s="1151"/>
      <c r="E163" s="1073"/>
      <c r="F163" s="1090"/>
      <c r="G163" s="1028">
        <f t="shared" si="2"/>
        <v>0</v>
      </c>
      <c r="H163" s="1034"/>
      <c r="I163" s="1034"/>
    </row>
    <row r="164" spans="1:9">
      <c r="A164" s="1175">
        <v>4</v>
      </c>
      <c r="B164" s="1176" t="s">
        <v>677</v>
      </c>
      <c r="C164" s="1169">
        <v>1</v>
      </c>
      <c r="D164" s="1151" t="s">
        <v>549</v>
      </c>
      <c r="E164" s="1073"/>
      <c r="F164" s="1090"/>
      <c r="G164" s="1028">
        <f t="shared" si="2"/>
        <v>0</v>
      </c>
      <c r="H164" s="1034"/>
      <c r="I164" s="1034"/>
    </row>
    <row r="165" spans="1:9" ht="15">
      <c r="A165" s="1177"/>
      <c r="B165" s="1178"/>
      <c r="C165" s="1169"/>
      <c r="D165" s="1151"/>
      <c r="E165" s="1073"/>
      <c r="F165" s="1090"/>
      <c r="G165" s="1028"/>
      <c r="H165" s="1034"/>
      <c r="I165" s="1034"/>
    </row>
    <row r="166" spans="1:9" ht="42.75">
      <c r="A166" s="1175">
        <v>5</v>
      </c>
      <c r="B166" s="1179" t="s">
        <v>678</v>
      </c>
      <c r="C166" s="1180">
        <v>1</v>
      </c>
      <c r="D166" s="1181" t="s">
        <v>549</v>
      </c>
      <c r="E166" s="1092"/>
      <c r="F166" s="1093"/>
      <c r="G166" s="1028">
        <f t="shared" si="2"/>
        <v>0</v>
      </c>
      <c r="H166" s="1034"/>
      <c r="I166" s="1034"/>
    </row>
    <row r="167" spans="1:9">
      <c r="A167" s="1137"/>
      <c r="B167" s="1162"/>
      <c r="C167" s="1168"/>
      <c r="D167" s="1151"/>
      <c r="E167" s="1073"/>
      <c r="F167" s="1090"/>
      <c r="G167" s="1028">
        <f t="shared" si="2"/>
        <v>0</v>
      </c>
      <c r="H167" s="1034"/>
      <c r="I167" s="1034"/>
    </row>
    <row r="168" spans="1:9" ht="15">
      <c r="A168" s="1136" t="s">
        <v>679</v>
      </c>
      <c r="B168" s="1143" t="s">
        <v>680</v>
      </c>
      <c r="C168" s="1168"/>
      <c r="D168" s="1151"/>
      <c r="E168" s="1073"/>
      <c r="F168" s="1090"/>
      <c r="G168" s="1028">
        <f t="shared" si="2"/>
        <v>0</v>
      </c>
      <c r="H168" s="1034"/>
      <c r="I168" s="1034"/>
    </row>
    <row r="169" spans="1:9" ht="15">
      <c r="A169" s="1136"/>
      <c r="B169" s="1143"/>
      <c r="C169" s="1168"/>
      <c r="D169" s="1151"/>
      <c r="E169" s="1073"/>
      <c r="F169" s="1090"/>
      <c r="G169" s="1028">
        <f t="shared" si="2"/>
        <v>0</v>
      </c>
      <c r="H169" s="1034"/>
      <c r="I169" s="1034"/>
    </row>
    <row r="170" spans="1:9" ht="15">
      <c r="A170" s="1136">
        <v>1</v>
      </c>
      <c r="B170" s="1143" t="s">
        <v>681</v>
      </c>
      <c r="C170" s="1168"/>
      <c r="D170" s="1151"/>
      <c r="E170" s="1073"/>
      <c r="F170" s="1090"/>
      <c r="G170" s="1028">
        <f t="shared" si="2"/>
        <v>0</v>
      </c>
      <c r="H170" s="1034"/>
      <c r="I170" s="1034"/>
    </row>
    <row r="171" spans="1:9" ht="16.5">
      <c r="A171" s="1137">
        <v>1.1000000000000001</v>
      </c>
      <c r="B171" s="1132" t="s">
        <v>682</v>
      </c>
      <c r="C171" s="1169">
        <v>0.92</v>
      </c>
      <c r="D171" s="1133" t="s">
        <v>560</v>
      </c>
      <c r="E171" s="1073"/>
      <c r="F171" s="1090"/>
      <c r="G171" s="1028">
        <f t="shared" si="2"/>
        <v>0</v>
      </c>
      <c r="H171" s="1034"/>
      <c r="I171" s="1034"/>
    </row>
    <row r="172" spans="1:9" ht="16.5">
      <c r="A172" s="1137">
        <v>1.2</v>
      </c>
      <c r="B172" s="1132" t="s">
        <v>662</v>
      </c>
      <c r="C172" s="1169">
        <v>0.32</v>
      </c>
      <c r="D172" s="1133" t="s">
        <v>560</v>
      </c>
      <c r="E172" s="1073"/>
      <c r="F172" s="1090"/>
      <c r="G172" s="1028">
        <f t="shared" si="2"/>
        <v>0</v>
      </c>
      <c r="H172" s="1034"/>
      <c r="I172" s="1034"/>
    </row>
    <row r="173" spans="1:9" ht="16.5">
      <c r="A173" s="1137">
        <v>1.3</v>
      </c>
      <c r="B173" s="1132" t="s">
        <v>663</v>
      </c>
      <c r="C173" s="1169">
        <v>0.71</v>
      </c>
      <c r="D173" s="1133" t="s">
        <v>560</v>
      </c>
      <c r="E173" s="1073"/>
      <c r="F173" s="1090"/>
      <c r="G173" s="1028">
        <f t="shared" si="2"/>
        <v>0</v>
      </c>
      <c r="H173" s="1034"/>
      <c r="I173" s="1034"/>
    </row>
    <row r="174" spans="1:9" ht="16.5">
      <c r="A174" s="1137">
        <v>1.4</v>
      </c>
      <c r="B174" s="1132" t="s">
        <v>683</v>
      </c>
      <c r="C174" s="1169">
        <v>1.85</v>
      </c>
      <c r="D174" s="1133" t="s">
        <v>560</v>
      </c>
      <c r="E174" s="1073"/>
      <c r="F174" s="1090"/>
      <c r="G174" s="1028">
        <f t="shared" si="2"/>
        <v>0</v>
      </c>
      <c r="H174" s="1034"/>
      <c r="I174" s="1034"/>
    </row>
    <row r="175" spans="1:9">
      <c r="A175" s="1137"/>
      <c r="B175" s="1132"/>
      <c r="C175" s="1169"/>
      <c r="D175" s="1133"/>
      <c r="E175" s="1073"/>
      <c r="F175" s="1090"/>
      <c r="G175" s="1028">
        <f t="shared" si="2"/>
        <v>0</v>
      </c>
      <c r="H175" s="1034"/>
      <c r="I175" s="1034"/>
    </row>
    <row r="176" spans="1:9" ht="15">
      <c r="A176" s="1136">
        <v>2</v>
      </c>
      <c r="B176" s="1143" t="s">
        <v>684</v>
      </c>
      <c r="C176" s="1169"/>
      <c r="D176" s="1151"/>
      <c r="E176" s="1073"/>
      <c r="F176" s="1090"/>
      <c r="G176" s="1028">
        <f t="shared" si="2"/>
        <v>0</v>
      </c>
      <c r="H176" s="1034"/>
      <c r="I176" s="1034"/>
    </row>
    <row r="177" spans="1:9" ht="15">
      <c r="A177" s="1137">
        <f>A176+0.1</f>
        <v>2.1</v>
      </c>
      <c r="B177" s="1162" t="s">
        <v>685</v>
      </c>
      <c r="C177" s="1169">
        <v>28.94</v>
      </c>
      <c r="D177" s="1151" t="s">
        <v>558</v>
      </c>
      <c r="E177" s="1073"/>
      <c r="F177" s="1090"/>
      <c r="G177" s="1028">
        <f t="shared" si="2"/>
        <v>0</v>
      </c>
      <c r="H177" s="1034"/>
      <c r="I177" s="1034"/>
    </row>
    <row r="178" spans="1:9" ht="15">
      <c r="A178" s="1139">
        <f>A177+0.1</f>
        <v>2.2000000000000002</v>
      </c>
      <c r="B178" s="1182" t="s">
        <v>686</v>
      </c>
      <c r="C178" s="1171">
        <v>2.4</v>
      </c>
      <c r="D178" s="1183" t="s">
        <v>558</v>
      </c>
      <c r="E178" s="1078"/>
      <c r="F178" s="1091"/>
      <c r="G178" s="1028">
        <f t="shared" si="2"/>
        <v>0</v>
      </c>
      <c r="H178" s="1034"/>
      <c r="I178" s="1034"/>
    </row>
    <row r="179" spans="1:9">
      <c r="A179" s="1137"/>
      <c r="B179" s="1162"/>
      <c r="C179" s="1168"/>
      <c r="D179" s="1151"/>
      <c r="E179" s="1073"/>
      <c r="F179" s="1090"/>
      <c r="G179" s="1028">
        <f t="shared" si="2"/>
        <v>0</v>
      </c>
      <c r="H179" s="1034"/>
      <c r="I179" s="1034"/>
    </row>
    <row r="180" spans="1:9" ht="15">
      <c r="A180" s="1136">
        <v>3</v>
      </c>
      <c r="B180" s="1143" t="s">
        <v>668</v>
      </c>
      <c r="C180" s="1168"/>
      <c r="D180" s="1151"/>
      <c r="E180" s="1073"/>
      <c r="F180" s="1090"/>
      <c r="G180" s="1028">
        <f t="shared" si="2"/>
        <v>0</v>
      </c>
      <c r="H180" s="1034"/>
      <c r="I180" s="1034"/>
    </row>
    <row r="181" spans="1:9" ht="15">
      <c r="A181" s="1137">
        <v>3.1</v>
      </c>
      <c r="B181" s="1132" t="s">
        <v>687</v>
      </c>
      <c r="C181" s="1169">
        <v>22.71</v>
      </c>
      <c r="D181" s="1151" t="s">
        <v>558</v>
      </c>
      <c r="E181" s="1080"/>
      <c r="F181" s="1090"/>
      <c r="G181" s="1028">
        <f t="shared" si="2"/>
        <v>0</v>
      </c>
      <c r="H181" s="1034"/>
      <c r="I181" s="1034"/>
    </row>
    <row r="182" spans="1:9" ht="15">
      <c r="A182" s="1137">
        <f>A181+0.1</f>
        <v>3.2</v>
      </c>
      <c r="B182" s="1132" t="s">
        <v>688</v>
      </c>
      <c r="C182" s="1169">
        <v>41.5</v>
      </c>
      <c r="D182" s="1151" t="s">
        <v>558</v>
      </c>
      <c r="E182" s="1080"/>
      <c r="F182" s="1090"/>
      <c r="G182" s="1028">
        <f t="shared" si="2"/>
        <v>0</v>
      </c>
      <c r="H182" s="1034"/>
      <c r="I182" s="1034"/>
    </row>
    <row r="183" spans="1:9" ht="15">
      <c r="A183" s="1137">
        <v>3.3</v>
      </c>
      <c r="B183" s="1132" t="s">
        <v>689</v>
      </c>
      <c r="C183" s="1169">
        <v>10.76</v>
      </c>
      <c r="D183" s="1151" t="s">
        <v>558</v>
      </c>
      <c r="E183" s="1080"/>
      <c r="F183" s="1090"/>
      <c r="G183" s="1028">
        <f t="shared" si="2"/>
        <v>0</v>
      </c>
      <c r="H183" s="1034"/>
      <c r="I183" s="1034"/>
    </row>
    <row r="184" spans="1:9" ht="15">
      <c r="A184" s="1137">
        <v>3.4</v>
      </c>
      <c r="B184" s="1132" t="s">
        <v>690</v>
      </c>
      <c r="C184" s="1169">
        <v>74.97</v>
      </c>
      <c r="D184" s="1151" t="s">
        <v>558</v>
      </c>
      <c r="E184" s="1080"/>
      <c r="F184" s="1090"/>
      <c r="G184" s="1028">
        <f t="shared" si="2"/>
        <v>0</v>
      </c>
      <c r="H184" s="1034"/>
      <c r="I184" s="1034"/>
    </row>
    <row r="185" spans="1:9">
      <c r="A185" s="1137">
        <v>3.5</v>
      </c>
      <c r="B185" s="1132" t="s">
        <v>671</v>
      </c>
      <c r="C185" s="1169">
        <v>54.16</v>
      </c>
      <c r="D185" s="1151" t="s">
        <v>89</v>
      </c>
      <c r="E185" s="1080"/>
      <c r="F185" s="1090"/>
      <c r="G185" s="1028">
        <f t="shared" si="2"/>
        <v>0</v>
      </c>
      <c r="H185" s="1034"/>
      <c r="I185" s="1034"/>
    </row>
    <row r="186" spans="1:9" ht="15">
      <c r="A186" s="1137">
        <f>A185+0.1</f>
        <v>3.6</v>
      </c>
      <c r="B186" s="1132" t="s">
        <v>691</v>
      </c>
      <c r="C186" s="1169">
        <v>15.44</v>
      </c>
      <c r="D186" s="1151" t="s">
        <v>558</v>
      </c>
      <c r="E186" s="1080"/>
      <c r="F186" s="1090"/>
      <c r="G186" s="1028">
        <f t="shared" si="2"/>
        <v>0</v>
      </c>
      <c r="H186" s="1034"/>
      <c r="I186" s="1034"/>
    </row>
    <row r="187" spans="1:9">
      <c r="A187" s="1137">
        <f>A186+0.1</f>
        <v>3.7</v>
      </c>
      <c r="B187" s="1132" t="s">
        <v>692</v>
      </c>
      <c r="C187" s="1169">
        <v>15.72</v>
      </c>
      <c r="D187" s="1151" t="s">
        <v>89</v>
      </c>
      <c r="E187" s="1080"/>
      <c r="F187" s="1090"/>
      <c r="G187" s="1028">
        <f t="shared" si="2"/>
        <v>0</v>
      </c>
      <c r="H187" s="1034"/>
      <c r="I187" s="1034"/>
    </row>
    <row r="188" spans="1:9">
      <c r="A188" s="1137"/>
      <c r="B188" s="1162"/>
      <c r="C188" s="1168"/>
      <c r="D188" s="1151"/>
      <c r="E188" s="1073"/>
      <c r="F188" s="1090"/>
      <c r="G188" s="1028">
        <f t="shared" si="2"/>
        <v>0</v>
      </c>
      <c r="H188" s="1034"/>
      <c r="I188" s="1034"/>
    </row>
    <row r="189" spans="1:9" ht="15">
      <c r="A189" s="1136">
        <v>4</v>
      </c>
      <c r="B189" s="1143" t="s">
        <v>693</v>
      </c>
      <c r="C189" s="1173"/>
      <c r="D189" s="1174"/>
      <c r="E189" s="1073"/>
      <c r="F189" s="1090"/>
      <c r="G189" s="1028">
        <f t="shared" si="2"/>
        <v>0</v>
      </c>
      <c r="H189" s="1034"/>
      <c r="I189" s="1034"/>
    </row>
    <row r="190" spans="1:9" ht="38.25">
      <c r="A190" s="1137">
        <f>A189+0.1</f>
        <v>4.0999999999999996</v>
      </c>
      <c r="B190" s="1035" t="s">
        <v>694</v>
      </c>
      <c r="C190" s="1020">
        <v>1</v>
      </c>
      <c r="D190" s="1036" t="s">
        <v>127</v>
      </c>
      <c r="E190" s="1094"/>
      <c r="F190" s="1037"/>
      <c r="G190" s="1028">
        <f t="shared" si="2"/>
        <v>0</v>
      </c>
      <c r="H190" s="1034"/>
      <c r="I190" s="1034"/>
    </row>
    <row r="191" spans="1:9">
      <c r="A191" s="1137"/>
      <c r="B191" s="1162"/>
      <c r="C191" s="1168"/>
      <c r="D191" s="1151"/>
      <c r="E191" s="1073"/>
      <c r="F191" s="1090"/>
      <c r="G191" s="1028">
        <f t="shared" si="2"/>
        <v>0</v>
      </c>
      <c r="H191" s="1034"/>
      <c r="I191" s="1034"/>
    </row>
    <row r="192" spans="1:9" ht="15">
      <c r="A192" s="1136">
        <v>5</v>
      </c>
      <c r="B192" s="1143" t="s">
        <v>695</v>
      </c>
      <c r="C192" s="1169"/>
      <c r="D192" s="1151"/>
      <c r="E192" s="1073"/>
      <c r="F192" s="1090"/>
      <c r="G192" s="1028">
        <f t="shared" si="2"/>
        <v>0</v>
      </c>
      <c r="H192" s="1034"/>
      <c r="I192" s="1034"/>
    </row>
    <row r="193" spans="1:9">
      <c r="A193" s="1137">
        <v>5.0999999999999996</v>
      </c>
      <c r="B193" s="1132" t="s">
        <v>696</v>
      </c>
      <c r="C193" s="1169">
        <v>2</v>
      </c>
      <c r="D193" s="1151" t="s">
        <v>549</v>
      </c>
      <c r="E193" s="1073"/>
      <c r="F193" s="1090"/>
      <c r="G193" s="1028">
        <f t="shared" si="2"/>
        <v>0</v>
      </c>
      <c r="H193" s="1034"/>
      <c r="I193" s="1034"/>
    </row>
    <row r="194" spans="1:9">
      <c r="A194" s="1137">
        <v>5.2</v>
      </c>
      <c r="B194" s="1132" t="s">
        <v>697</v>
      </c>
      <c r="C194" s="1169">
        <v>1</v>
      </c>
      <c r="D194" s="1151" t="s">
        <v>549</v>
      </c>
      <c r="E194" s="1073"/>
      <c r="F194" s="1090"/>
      <c r="G194" s="1028">
        <f t="shared" ref="G194:G257" si="3">+C194*E194</f>
        <v>0</v>
      </c>
      <c r="H194" s="1034"/>
      <c r="I194" s="1034"/>
    </row>
    <row r="195" spans="1:9">
      <c r="A195" s="1137">
        <v>5.3</v>
      </c>
      <c r="B195" s="1132" t="s">
        <v>698</v>
      </c>
      <c r="C195" s="1169">
        <v>3</v>
      </c>
      <c r="D195" s="1151" t="s">
        <v>549</v>
      </c>
      <c r="E195" s="1073"/>
      <c r="F195" s="1090"/>
      <c r="G195" s="1028">
        <f t="shared" si="3"/>
        <v>0</v>
      </c>
      <c r="H195" s="1034"/>
      <c r="I195" s="1034"/>
    </row>
    <row r="196" spans="1:9">
      <c r="A196" s="1137">
        <v>5.4</v>
      </c>
      <c r="B196" s="1132" t="s">
        <v>699</v>
      </c>
      <c r="C196" s="1169">
        <v>1</v>
      </c>
      <c r="D196" s="1151" t="s">
        <v>549</v>
      </c>
      <c r="E196" s="1073"/>
      <c r="F196" s="1090"/>
      <c r="G196" s="1028">
        <f t="shared" si="3"/>
        <v>0</v>
      </c>
      <c r="H196" s="1034"/>
      <c r="I196" s="1034"/>
    </row>
    <row r="197" spans="1:9">
      <c r="A197" s="1137"/>
      <c r="B197" s="1132"/>
      <c r="C197" s="1169"/>
      <c r="D197" s="1151"/>
      <c r="E197" s="1073"/>
      <c r="F197" s="1090"/>
      <c r="G197" s="1028">
        <f t="shared" si="3"/>
        <v>0</v>
      </c>
      <c r="H197" s="1034"/>
      <c r="I197" s="1034"/>
    </row>
    <row r="198" spans="1:9">
      <c r="A198" s="1137">
        <v>6</v>
      </c>
      <c r="B198" s="1132" t="s">
        <v>700</v>
      </c>
      <c r="C198" s="1168">
        <v>1</v>
      </c>
      <c r="D198" s="1151" t="s">
        <v>549</v>
      </c>
      <c r="E198" s="1073"/>
      <c r="F198" s="1090"/>
      <c r="G198" s="1028">
        <f t="shared" si="3"/>
        <v>0</v>
      </c>
      <c r="H198" s="1034"/>
      <c r="I198" s="1034"/>
    </row>
    <row r="199" spans="1:9" ht="15">
      <c r="A199" s="1184"/>
      <c r="B199" s="1153" t="s">
        <v>701</v>
      </c>
      <c r="C199" s="1185"/>
      <c r="D199" s="1186"/>
      <c r="E199" s="1081"/>
      <c r="F199" s="1095"/>
      <c r="G199" s="1028">
        <f t="shared" si="3"/>
        <v>0</v>
      </c>
      <c r="H199" s="1034"/>
      <c r="I199" s="1034"/>
    </row>
    <row r="200" spans="1:9">
      <c r="A200" s="1137"/>
      <c r="B200" s="1162"/>
      <c r="C200" s="1169"/>
      <c r="D200" s="1151"/>
      <c r="E200" s="1073"/>
      <c r="F200" s="1090"/>
      <c r="G200" s="1028">
        <f t="shared" si="3"/>
        <v>0</v>
      </c>
      <c r="H200" s="1034"/>
      <c r="I200" s="1034"/>
    </row>
    <row r="201" spans="1:9" ht="15">
      <c r="A201" s="1136" t="s">
        <v>702</v>
      </c>
      <c r="B201" s="1143" t="s">
        <v>703</v>
      </c>
      <c r="C201" s="1169"/>
      <c r="D201" s="1151"/>
      <c r="E201" s="1073"/>
      <c r="F201" s="1090"/>
      <c r="G201" s="1028">
        <f t="shared" si="3"/>
        <v>0</v>
      </c>
      <c r="H201" s="1034"/>
      <c r="I201" s="1034"/>
    </row>
    <row r="202" spans="1:9">
      <c r="A202" s="1137"/>
      <c r="B202" s="1162"/>
      <c r="C202" s="1169"/>
      <c r="D202" s="1151"/>
      <c r="E202" s="1073"/>
      <c r="F202" s="1090"/>
      <c r="G202" s="1028">
        <f t="shared" si="3"/>
        <v>0</v>
      </c>
      <c r="H202" s="1034"/>
      <c r="I202" s="1034"/>
    </row>
    <row r="203" spans="1:9" ht="15">
      <c r="A203" s="1136">
        <v>1</v>
      </c>
      <c r="B203" s="1143" t="s">
        <v>704</v>
      </c>
      <c r="C203" s="1169"/>
      <c r="D203" s="1151"/>
      <c r="E203" s="1073"/>
      <c r="F203" s="1090"/>
      <c r="G203" s="1028">
        <f t="shared" si="3"/>
        <v>0</v>
      </c>
      <c r="H203" s="1034"/>
      <c r="I203" s="1034"/>
    </row>
    <row r="204" spans="1:9">
      <c r="A204" s="1137">
        <v>1.1000000000000001</v>
      </c>
      <c r="B204" s="1132" t="s">
        <v>705</v>
      </c>
      <c r="C204" s="1169">
        <v>1</v>
      </c>
      <c r="D204" s="1151" t="s">
        <v>549</v>
      </c>
      <c r="E204" s="1073"/>
      <c r="F204" s="1090"/>
      <c r="G204" s="1028">
        <f t="shared" si="3"/>
        <v>0</v>
      </c>
      <c r="H204" s="1034"/>
      <c r="I204" s="1034"/>
    </row>
    <row r="205" spans="1:9">
      <c r="A205" s="1137">
        <v>1.2</v>
      </c>
      <c r="B205" s="1132" t="s">
        <v>706</v>
      </c>
      <c r="C205" s="1169">
        <v>50</v>
      </c>
      <c r="D205" s="1151" t="s">
        <v>374</v>
      </c>
      <c r="E205" s="1073"/>
      <c r="F205" s="1090"/>
      <c r="G205" s="1028">
        <f t="shared" si="3"/>
        <v>0</v>
      </c>
      <c r="H205" s="1034"/>
      <c r="I205" s="1034"/>
    </row>
    <row r="206" spans="1:9">
      <c r="A206" s="1137">
        <v>1.3</v>
      </c>
      <c r="B206" s="1132" t="s">
        <v>707</v>
      </c>
      <c r="C206" s="1169">
        <v>1</v>
      </c>
      <c r="D206" s="1151" t="s">
        <v>549</v>
      </c>
      <c r="E206" s="1073"/>
      <c r="F206" s="1090"/>
      <c r="G206" s="1028">
        <f t="shared" si="3"/>
        <v>0</v>
      </c>
      <c r="H206" s="1034"/>
      <c r="I206" s="1034"/>
    </row>
    <row r="207" spans="1:9">
      <c r="A207" s="1137">
        <v>1.4</v>
      </c>
      <c r="B207" s="1132" t="s">
        <v>708</v>
      </c>
      <c r="C207" s="1169">
        <v>1</v>
      </c>
      <c r="D207" s="1151" t="s">
        <v>549</v>
      </c>
      <c r="E207" s="1073"/>
      <c r="F207" s="1090"/>
      <c r="G207" s="1028">
        <f t="shared" si="3"/>
        <v>0</v>
      </c>
      <c r="H207" s="1034"/>
      <c r="I207" s="1034"/>
    </row>
    <row r="208" spans="1:9">
      <c r="A208" s="1137">
        <v>1.5</v>
      </c>
      <c r="B208" s="1132" t="s">
        <v>709</v>
      </c>
      <c r="C208" s="1169">
        <v>1</v>
      </c>
      <c r="D208" s="1151" t="s">
        <v>549</v>
      </c>
      <c r="E208" s="1073"/>
      <c r="F208" s="1090"/>
      <c r="G208" s="1028">
        <f t="shared" si="3"/>
        <v>0</v>
      </c>
      <c r="H208" s="1034"/>
      <c r="I208" s="1034"/>
    </row>
    <row r="209" spans="1:9">
      <c r="A209" s="1137">
        <v>1.6</v>
      </c>
      <c r="B209" s="1132" t="s">
        <v>710</v>
      </c>
      <c r="C209" s="1169">
        <v>1</v>
      </c>
      <c r="D209" s="1151" t="s">
        <v>549</v>
      </c>
      <c r="E209" s="1073"/>
      <c r="F209" s="1090"/>
      <c r="G209" s="1028">
        <f t="shared" si="3"/>
        <v>0</v>
      </c>
      <c r="H209" s="1034"/>
      <c r="I209" s="1034"/>
    </row>
    <row r="210" spans="1:9">
      <c r="A210" s="1137">
        <v>1.7</v>
      </c>
      <c r="B210" s="1132" t="s">
        <v>711</v>
      </c>
      <c r="C210" s="1169">
        <v>1</v>
      </c>
      <c r="D210" s="1151" t="s">
        <v>549</v>
      </c>
      <c r="E210" s="1073"/>
      <c r="F210" s="1090"/>
      <c r="G210" s="1028">
        <f t="shared" si="3"/>
        <v>0</v>
      </c>
      <c r="H210" s="1034"/>
      <c r="I210" s="1034"/>
    </row>
    <row r="211" spans="1:9">
      <c r="A211" s="1137">
        <v>1.8</v>
      </c>
      <c r="B211" s="1132" t="s">
        <v>712</v>
      </c>
      <c r="C211" s="1169">
        <v>1</v>
      </c>
      <c r="D211" s="1151" t="s">
        <v>549</v>
      </c>
      <c r="E211" s="1073"/>
      <c r="F211" s="1090"/>
      <c r="G211" s="1028">
        <f t="shared" si="3"/>
        <v>0</v>
      </c>
      <c r="H211" s="1034"/>
      <c r="I211" s="1034"/>
    </row>
    <row r="212" spans="1:9">
      <c r="A212" s="1137">
        <v>1.9</v>
      </c>
      <c r="B212" s="1132" t="s">
        <v>713</v>
      </c>
      <c r="C212" s="1169">
        <v>1</v>
      </c>
      <c r="D212" s="1151" t="s">
        <v>549</v>
      </c>
      <c r="E212" s="1073"/>
      <c r="F212" s="1090"/>
      <c r="G212" s="1028">
        <f t="shared" si="3"/>
        <v>0</v>
      </c>
      <c r="H212" s="1034"/>
      <c r="I212" s="1034"/>
    </row>
    <row r="213" spans="1:9">
      <c r="A213" s="1137">
        <v>1.1000000000000001</v>
      </c>
      <c r="B213" s="1132" t="s">
        <v>714</v>
      </c>
      <c r="C213" s="1169">
        <v>1</v>
      </c>
      <c r="D213" s="1151" t="s">
        <v>549</v>
      </c>
      <c r="E213" s="1073"/>
      <c r="F213" s="1090"/>
      <c r="G213" s="1028">
        <f t="shared" si="3"/>
        <v>0</v>
      </c>
      <c r="H213" s="1034"/>
      <c r="I213" s="1034"/>
    </row>
    <row r="214" spans="1:9" s="1039" customFormat="1" ht="15">
      <c r="A214" s="1187"/>
      <c r="B214" s="1152" t="s">
        <v>715</v>
      </c>
      <c r="C214" s="1188"/>
      <c r="D214" s="1189"/>
      <c r="E214" s="1083"/>
      <c r="F214" s="1095"/>
      <c r="G214" s="1028">
        <f t="shared" si="3"/>
        <v>0</v>
      </c>
      <c r="H214" s="1038"/>
      <c r="I214" s="1038"/>
    </row>
    <row r="215" spans="1:9">
      <c r="A215" s="1137"/>
      <c r="B215" s="1162"/>
      <c r="C215" s="1169"/>
      <c r="D215" s="1151"/>
      <c r="E215" s="1073"/>
      <c r="F215" s="1090"/>
      <c r="G215" s="1028">
        <f t="shared" si="3"/>
        <v>0</v>
      </c>
      <c r="H215" s="1034"/>
      <c r="I215" s="1034"/>
    </row>
    <row r="216" spans="1:9" s="1039" customFormat="1" ht="25.5" customHeight="1">
      <c r="A216" s="1136">
        <v>2</v>
      </c>
      <c r="B216" s="1143" t="s">
        <v>716</v>
      </c>
      <c r="C216" s="1190"/>
      <c r="D216" s="1174"/>
      <c r="E216" s="1077"/>
      <c r="F216" s="1096"/>
      <c r="G216" s="1028">
        <f t="shared" si="3"/>
        <v>0</v>
      </c>
      <c r="H216" s="1038"/>
      <c r="I216" s="1038"/>
    </row>
    <row r="217" spans="1:9" ht="71.25">
      <c r="A217" s="1139" t="s">
        <v>717</v>
      </c>
      <c r="B217" s="1170" t="s">
        <v>718</v>
      </c>
      <c r="C217" s="1191">
        <v>30</v>
      </c>
      <c r="D217" s="1192" t="s">
        <v>89</v>
      </c>
      <c r="E217" s="1097"/>
      <c r="F217" s="1098"/>
      <c r="G217" s="1028">
        <f t="shared" si="3"/>
        <v>0</v>
      </c>
      <c r="H217" s="1034"/>
      <c r="I217" s="1034"/>
    </row>
    <row r="218" spans="1:9" ht="57">
      <c r="A218" s="1137">
        <f>+A217+0.1</f>
        <v>2.2000000000000002</v>
      </c>
      <c r="B218" s="1132" t="s">
        <v>719</v>
      </c>
      <c r="C218" s="1180">
        <v>4</v>
      </c>
      <c r="D218" s="1181" t="s">
        <v>89</v>
      </c>
      <c r="E218" s="1092"/>
      <c r="F218" s="1093"/>
      <c r="G218" s="1028">
        <f t="shared" si="3"/>
        <v>0</v>
      </c>
      <c r="H218" s="1034"/>
      <c r="I218" s="1034"/>
    </row>
    <row r="219" spans="1:9" ht="57">
      <c r="A219" s="1137">
        <f t="shared" ref="A219:A225" si="4">+A218+0.1</f>
        <v>2.2999999999999998</v>
      </c>
      <c r="B219" s="1132" t="s">
        <v>720</v>
      </c>
      <c r="C219" s="1180">
        <v>30</v>
      </c>
      <c r="D219" s="1181" t="s">
        <v>89</v>
      </c>
      <c r="E219" s="1092"/>
      <c r="F219" s="1093"/>
      <c r="G219" s="1028">
        <f t="shared" si="3"/>
        <v>0</v>
      </c>
      <c r="H219" s="1034"/>
      <c r="I219" s="1034"/>
    </row>
    <row r="220" spans="1:9" ht="42.75">
      <c r="A220" s="1137">
        <f t="shared" si="4"/>
        <v>2.4</v>
      </c>
      <c r="B220" s="1132" t="s">
        <v>721</v>
      </c>
      <c r="C220" s="1180">
        <v>30</v>
      </c>
      <c r="D220" s="1181" t="s">
        <v>89</v>
      </c>
      <c r="E220" s="1092"/>
      <c r="F220" s="1093"/>
      <c r="G220" s="1028">
        <f t="shared" si="3"/>
        <v>0</v>
      </c>
      <c r="H220" s="1034"/>
      <c r="I220" s="1034"/>
    </row>
    <row r="221" spans="1:9" ht="57">
      <c r="A221" s="1137">
        <f t="shared" si="4"/>
        <v>2.5</v>
      </c>
      <c r="B221" s="1132" t="s">
        <v>722</v>
      </c>
      <c r="C221" s="1180">
        <v>16</v>
      </c>
      <c r="D221" s="1181" t="s">
        <v>89</v>
      </c>
      <c r="E221" s="1092"/>
      <c r="F221" s="1093"/>
      <c r="G221" s="1028">
        <f t="shared" si="3"/>
        <v>0</v>
      </c>
      <c r="H221" s="1034"/>
      <c r="I221" s="1034"/>
    </row>
    <row r="222" spans="1:9">
      <c r="A222" s="1137">
        <f t="shared" si="4"/>
        <v>2.6</v>
      </c>
      <c r="B222" s="1132" t="s">
        <v>723</v>
      </c>
      <c r="C222" s="1169">
        <v>1</v>
      </c>
      <c r="D222" s="1151" t="s">
        <v>549</v>
      </c>
      <c r="E222" s="1073"/>
      <c r="F222" s="1090"/>
      <c r="G222" s="1028">
        <f t="shared" si="3"/>
        <v>0</v>
      </c>
      <c r="H222" s="1034"/>
      <c r="I222" s="1034"/>
    </row>
    <row r="223" spans="1:9" ht="42.75">
      <c r="A223" s="1137">
        <f t="shared" si="4"/>
        <v>2.7</v>
      </c>
      <c r="B223" s="1132" t="s">
        <v>724</v>
      </c>
      <c r="C223" s="1180">
        <v>1</v>
      </c>
      <c r="D223" s="1181" t="s">
        <v>549</v>
      </c>
      <c r="E223" s="1092"/>
      <c r="F223" s="1093"/>
      <c r="G223" s="1028">
        <f t="shared" si="3"/>
        <v>0</v>
      </c>
      <c r="H223" s="1034"/>
      <c r="I223" s="1034"/>
    </row>
    <row r="224" spans="1:9">
      <c r="A224" s="1137">
        <f t="shared" si="4"/>
        <v>2.8</v>
      </c>
      <c r="B224" s="1132" t="s">
        <v>725</v>
      </c>
      <c r="C224" s="1169">
        <v>1</v>
      </c>
      <c r="D224" s="1151" t="s">
        <v>549</v>
      </c>
      <c r="E224" s="1073"/>
      <c r="F224" s="1090"/>
      <c r="G224" s="1028">
        <f t="shared" si="3"/>
        <v>0</v>
      </c>
      <c r="H224" s="1034"/>
      <c r="I224" s="1034"/>
    </row>
    <row r="225" spans="1:9">
      <c r="A225" s="1137">
        <f t="shared" si="4"/>
        <v>2.9</v>
      </c>
      <c r="B225" s="1132" t="s">
        <v>726</v>
      </c>
      <c r="C225" s="1169">
        <v>5</v>
      </c>
      <c r="D225" s="1151" t="s">
        <v>549</v>
      </c>
      <c r="E225" s="1073"/>
      <c r="F225" s="1090"/>
      <c r="G225" s="1028">
        <f t="shared" si="3"/>
        <v>0</v>
      </c>
      <c r="H225" s="1034"/>
      <c r="I225" s="1034"/>
    </row>
    <row r="226" spans="1:9">
      <c r="A226" s="1193">
        <v>2.1</v>
      </c>
      <c r="B226" s="1132" t="s">
        <v>727</v>
      </c>
      <c r="C226" s="1169">
        <v>2</v>
      </c>
      <c r="D226" s="1151" t="s">
        <v>549</v>
      </c>
      <c r="E226" s="1073"/>
      <c r="F226" s="1090"/>
      <c r="G226" s="1028">
        <f t="shared" si="3"/>
        <v>0</v>
      </c>
      <c r="H226" s="1034"/>
      <c r="I226" s="1034"/>
    </row>
    <row r="227" spans="1:9">
      <c r="A227" s="1137">
        <v>2.11</v>
      </c>
      <c r="B227" s="1132" t="s">
        <v>728</v>
      </c>
      <c r="C227" s="1169">
        <v>1</v>
      </c>
      <c r="D227" s="1151" t="s">
        <v>549</v>
      </c>
      <c r="E227" s="1073"/>
      <c r="F227" s="1090"/>
      <c r="G227" s="1028">
        <f t="shared" si="3"/>
        <v>0</v>
      </c>
      <c r="H227" s="1034"/>
      <c r="I227" s="1034"/>
    </row>
    <row r="228" spans="1:9">
      <c r="A228" s="1137"/>
      <c r="B228" s="1132"/>
      <c r="C228" s="1169"/>
      <c r="D228" s="1151"/>
      <c r="E228" s="1073"/>
      <c r="F228" s="1090"/>
      <c r="G228" s="1028"/>
      <c r="H228" s="1034"/>
      <c r="I228" s="1034"/>
    </row>
    <row r="229" spans="1:9" s="1039" customFormat="1" ht="15">
      <c r="A229" s="1187"/>
      <c r="B229" s="1152" t="s">
        <v>729</v>
      </c>
      <c r="C229" s="1188"/>
      <c r="D229" s="1189"/>
      <c r="E229" s="1083"/>
      <c r="F229" s="1095"/>
      <c r="G229" s="1028">
        <f t="shared" si="3"/>
        <v>0</v>
      </c>
      <c r="H229" s="1038"/>
      <c r="I229" s="1038"/>
    </row>
    <row r="230" spans="1:9">
      <c r="A230" s="1137"/>
      <c r="B230" s="1162"/>
      <c r="C230" s="1169"/>
      <c r="D230" s="1151"/>
      <c r="E230" s="1073"/>
      <c r="F230" s="1090"/>
      <c r="G230" s="1028">
        <f t="shared" si="3"/>
        <v>0</v>
      </c>
      <c r="H230" s="1034"/>
      <c r="I230" s="1034"/>
    </row>
    <row r="231" spans="1:9" s="1039" customFormat="1" ht="16.5" customHeight="1">
      <c r="A231" s="1136">
        <v>3</v>
      </c>
      <c r="B231" s="1143" t="s">
        <v>730</v>
      </c>
      <c r="C231" s="1190"/>
      <c r="D231" s="1174"/>
      <c r="E231" s="1077"/>
      <c r="F231" s="1096"/>
      <c r="G231" s="1028">
        <f t="shared" si="3"/>
        <v>0</v>
      </c>
      <c r="H231" s="1038"/>
      <c r="I231" s="1038"/>
    </row>
    <row r="232" spans="1:9" ht="42.75">
      <c r="A232" s="1137">
        <v>3.1</v>
      </c>
      <c r="B232" s="1132" t="s">
        <v>731</v>
      </c>
      <c r="C232" s="1180">
        <v>2</v>
      </c>
      <c r="D232" s="1181" t="s">
        <v>549</v>
      </c>
      <c r="E232" s="1092"/>
      <c r="F232" s="1093"/>
      <c r="G232" s="1028">
        <f t="shared" si="3"/>
        <v>0</v>
      </c>
      <c r="H232" s="1034"/>
      <c r="I232" s="1034"/>
    </row>
    <row r="233" spans="1:9" ht="28.5">
      <c r="A233" s="1137">
        <v>3.2</v>
      </c>
      <c r="B233" s="1132" t="s">
        <v>732</v>
      </c>
      <c r="C233" s="1180">
        <v>1</v>
      </c>
      <c r="D233" s="1181" t="s">
        <v>549</v>
      </c>
      <c r="E233" s="1092"/>
      <c r="F233" s="1093"/>
      <c r="G233" s="1028">
        <f t="shared" si="3"/>
        <v>0</v>
      </c>
      <c r="H233" s="1034"/>
      <c r="I233" s="1034"/>
    </row>
    <row r="234" spans="1:9">
      <c r="A234" s="1137">
        <v>3.3</v>
      </c>
      <c r="B234" s="1132" t="s">
        <v>733</v>
      </c>
      <c r="C234" s="1169">
        <v>2</v>
      </c>
      <c r="D234" s="1151" t="s">
        <v>549</v>
      </c>
      <c r="E234" s="1073"/>
      <c r="F234" s="1090"/>
      <c r="G234" s="1028">
        <f t="shared" si="3"/>
        <v>0</v>
      </c>
      <c r="H234" s="1034"/>
      <c r="I234" s="1034"/>
    </row>
    <row r="235" spans="1:9">
      <c r="A235" s="1137">
        <v>3.4</v>
      </c>
      <c r="B235" s="1132" t="s">
        <v>734</v>
      </c>
      <c r="C235" s="1169">
        <v>6</v>
      </c>
      <c r="D235" s="1151" t="s">
        <v>549</v>
      </c>
      <c r="E235" s="1073"/>
      <c r="F235" s="1090"/>
      <c r="G235" s="1028">
        <f t="shared" si="3"/>
        <v>0</v>
      </c>
      <c r="H235" s="1034"/>
      <c r="I235" s="1034"/>
    </row>
    <row r="236" spans="1:9" ht="28.5">
      <c r="A236" s="1137">
        <v>3.5</v>
      </c>
      <c r="B236" s="1132" t="s">
        <v>735</v>
      </c>
      <c r="C236" s="1169">
        <v>2</v>
      </c>
      <c r="D236" s="1151" t="s">
        <v>549</v>
      </c>
      <c r="E236" s="1073"/>
      <c r="F236" s="1090"/>
      <c r="G236" s="1028">
        <f t="shared" si="3"/>
        <v>0</v>
      </c>
      <c r="H236" s="1034"/>
      <c r="I236" s="1034"/>
    </row>
    <row r="237" spans="1:9">
      <c r="A237" s="1137">
        <v>3.6</v>
      </c>
      <c r="B237" s="1132" t="s">
        <v>736</v>
      </c>
      <c r="C237" s="1169">
        <v>2</v>
      </c>
      <c r="D237" s="1151" t="s">
        <v>549</v>
      </c>
      <c r="E237" s="1073"/>
      <c r="F237" s="1090"/>
      <c r="G237" s="1028">
        <f t="shared" si="3"/>
        <v>0</v>
      </c>
      <c r="H237" s="1034"/>
      <c r="I237" s="1034"/>
    </row>
    <row r="238" spans="1:9">
      <c r="A238" s="1137">
        <v>3.7</v>
      </c>
      <c r="B238" s="1132" t="s">
        <v>737</v>
      </c>
      <c r="C238" s="1169">
        <v>2</v>
      </c>
      <c r="D238" s="1151" t="s">
        <v>549</v>
      </c>
      <c r="E238" s="1073"/>
      <c r="F238" s="1090"/>
      <c r="G238" s="1028">
        <f t="shared" si="3"/>
        <v>0</v>
      </c>
      <c r="H238" s="1034"/>
      <c r="I238" s="1034"/>
    </row>
    <row r="239" spans="1:9" ht="28.5">
      <c r="A239" s="1137">
        <v>3.8</v>
      </c>
      <c r="B239" s="1132" t="s">
        <v>738</v>
      </c>
      <c r="C239" s="1169">
        <v>5</v>
      </c>
      <c r="D239" s="1151" t="s">
        <v>549</v>
      </c>
      <c r="E239" s="1073"/>
      <c r="F239" s="1090"/>
      <c r="G239" s="1028">
        <f t="shared" si="3"/>
        <v>0</v>
      </c>
      <c r="H239" s="1034"/>
      <c r="I239" s="1034"/>
    </row>
    <row r="240" spans="1:9">
      <c r="A240" s="1137">
        <v>3.9</v>
      </c>
      <c r="B240" s="1132" t="s">
        <v>739</v>
      </c>
      <c r="C240" s="1169">
        <v>2</v>
      </c>
      <c r="D240" s="1151" t="s">
        <v>549</v>
      </c>
      <c r="E240" s="1073"/>
      <c r="F240" s="1090"/>
      <c r="G240" s="1028">
        <f t="shared" si="3"/>
        <v>0</v>
      </c>
      <c r="H240" s="1034"/>
      <c r="I240" s="1034"/>
    </row>
    <row r="241" spans="1:9">
      <c r="A241" s="1193">
        <v>3.1</v>
      </c>
      <c r="B241" s="1132" t="s">
        <v>740</v>
      </c>
      <c r="C241" s="1169">
        <v>1</v>
      </c>
      <c r="D241" s="1151" t="s">
        <v>549</v>
      </c>
      <c r="E241" s="1073"/>
      <c r="F241" s="1090"/>
      <c r="G241" s="1028">
        <f t="shared" si="3"/>
        <v>0</v>
      </c>
      <c r="H241" s="1034"/>
      <c r="I241" s="1034"/>
    </row>
    <row r="242" spans="1:9">
      <c r="A242" s="1193">
        <v>3.11</v>
      </c>
      <c r="B242" s="1132" t="s">
        <v>741</v>
      </c>
      <c r="C242" s="1169">
        <v>2</v>
      </c>
      <c r="D242" s="1151" t="s">
        <v>549</v>
      </c>
      <c r="E242" s="1073"/>
      <c r="F242" s="1090"/>
      <c r="G242" s="1028">
        <f t="shared" si="3"/>
        <v>0</v>
      </c>
      <c r="H242" s="1034"/>
      <c r="I242" s="1034"/>
    </row>
    <row r="243" spans="1:9">
      <c r="A243" s="1193">
        <v>3.12</v>
      </c>
      <c r="B243" s="1132" t="s">
        <v>742</v>
      </c>
      <c r="C243" s="1169">
        <v>2</v>
      </c>
      <c r="D243" s="1151" t="s">
        <v>549</v>
      </c>
      <c r="E243" s="1073"/>
      <c r="F243" s="1090"/>
      <c r="G243" s="1028">
        <f t="shared" si="3"/>
        <v>0</v>
      </c>
      <c r="H243" s="1034"/>
      <c r="I243" s="1034"/>
    </row>
    <row r="244" spans="1:9">
      <c r="A244" s="1193">
        <v>3.13</v>
      </c>
      <c r="B244" s="1132" t="s">
        <v>743</v>
      </c>
      <c r="C244" s="1169">
        <v>1</v>
      </c>
      <c r="D244" s="1151" t="s">
        <v>549</v>
      </c>
      <c r="E244" s="1073"/>
      <c r="F244" s="1090"/>
      <c r="G244" s="1028">
        <f t="shared" si="3"/>
        <v>0</v>
      </c>
      <c r="H244" s="1034"/>
      <c r="I244" s="1034"/>
    </row>
    <row r="245" spans="1:9">
      <c r="A245" s="1193">
        <v>3.14</v>
      </c>
      <c r="B245" s="1132" t="s">
        <v>744</v>
      </c>
      <c r="C245" s="1169">
        <v>1</v>
      </c>
      <c r="D245" s="1151" t="s">
        <v>549</v>
      </c>
      <c r="E245" s="1073"/>
      <c r="F245" s="1090"/>
      <c r="G245" s="1028">
        <f t="shared" si="3"/>
        <v>0</v>
      </c>
      <c r="H245" s="1034"/>
      <c r="I245" s="1034"/>
    </row>
    <row r="246" spans="1:9">
      <c r="A246" s="1193">
        <v>3.15</v>
      </c>
      <c r="B246" s="1132" t="s">
        <v>745</v>
      </c>
      <c r="C246" s="1169">
        <v>1</v>
      </c>
      <c r="D246" s="1151" t="s">
        <v>549</v>
      </c>
      <c r="E246" s="1073"/>
      <c r="F246" s="1090"/>
      <c r="G246" s="1028">
        <f t="shared" si="3"/>
        <v>0</v>
      </c>
      <c r="H246" s="1034"/>
      <c r="I246" s="1034"/>
    </row>
    <row r="247" spans="1:9" ht="28.5">
      <c r="A247" s="1193">
        <v>3.16</v>
      </c>
      <c r="B247" s="1132" t="s">
        <v>746</v>
      </c>
      <c r="C247" s="1180">
        <v>1</v>
      </c>
      <c r="D247" s="1181" t="s">
        <v>549</v>
      </c>
      <c r="E247" s="1092"/>
      <c r="F247" s="1093"/>
      <c r="G247" s="1028">
        <f t="shared" si="3"/>
        <v>0</v>
      </c>
      <c r="H247" s="1034"/>
      <c r="I247" s="1034"/>
    </row>
    <row r="248" spans="1:9" ht="42.75">
      <c r="A248" s="1193">
        <v>3.17</v>
      </c>
      <c r="B248" s="1132" t="s">
        <v>747</v>
      </c>
      <c r="C248" s="1169">
        <v>6</v>
      </c>
      <c r="D248" s="1151" t="s">
        <v>549</v>
      </c>
      <c r="E248" s="1073"/>
      <c r="F248" s="1090"/>
      <c r="G248" s="1028">
        <f t="shared" si="3"/>
        <v>0</v>
      </c>
      <c r="H248" s="1034"/>
      <c r="I248" s="1034"/>
    </row>
    <row r="249" spans="1:9" ht="29.25">
      <c r="A249" s="1193">
        <v>3.18</v>
      </c>
      <c r="B249" s="1132" t="s">
        <v>748</v>
      </c>
      <c r="C249" s="1169">
        <v>2</v>
      </c>
      <c r="D249" s="1151" t="s">
        <v>549</v>
      </c>
      <c r="E249" s="1073"/>
      <c r="F249" s="1090"/>
      <c r="G249" s="1028">
        <f t="shared" si="3"/>
        <v>0</v>
      </c>
      <c r="H249" s="1034"/>
      <c r="I249" s="1034"/>
    </row>
    <row r="250" spans="1:9" s="1039" customFormat="1" ht="15">
      <c r="A250" s="1194"/>
      <c r="B250" s="1195" t="s">
        <v>749</v>
      </c>
      <c r="C250" s="1196"/>
      <c r="D250" s="1197"/>
      <c r="E250" s="1099"/>
      <c r="F250" s="1100"/>
      <c r="G250" s="1028">
        <f t="shared" si="3"/>
        <v>0</v>
      </c>
      <c r="H250" s="1038"/>
      <c r="I250" s="1038"/>
    </row>
    <row r="251" spans="1:9" s="1039" customFormat="1" ht="15">
      <c r="A251" s="1136"/>
      <c r="B251" s="1127"/>
      <c r="C251" s="1190"/>
      <c r="D251" s="1174"/>
      <c r="E251" s="1077"/>
      <c r="F251" s="1096"/>
      <c r="G251" s="1028">
        <f t="shared" si="3"/>
        <v>0</v>
      </c>
      <c r="H251" s="1038"/>
      <c r="I251" s="1038"/>
    </row>
    <row r="252" spans="1:9" ht="15">
      <c r="A252" s="1127"/>
      <c r="B252" s="1167" t="s">
        <v>750</v>
      </c>
      <c r="C252" s="1129"/>
      <c r="D252" s="1130"/>
      <c r="E252" s="1074"/>
      <c r="F252" s="1101"/>
      <c r="G252" s="1028">
        <f t="shared" si="3"/>
        <v>0</v>
      </c>
      <c r="H252" s="1027"/>
      <c r="I252" s="1027"/>
    </row>
    <row r="253" spans="1:9" ht="15">
      <c r="A253" s="1127"/>
      <c r="B253" s="1131"/>
      <c r="C253" s="1129"/>
      <c r="D253" s="1130"/>
      <c r="E253" s="1074"/>
      <c r="F253" s="1075"/>
      <c r="G253" s="1028">
        <f t="shared" si="3"/>
        <v>0</v>
      </c>
      <c r="H253" s="1027"/>
      <c r="I253" s="1027"/>
    </row>
    <row r="254" spans="1:9" ht="15">
      <c r="A254" s="1040" t="s">
        <v>751</v>
      </c>
      <c r="B254" s="1041" t="s">
        <v>752</v>
      </c>
      <c r="C254" s="1042"/>
      <c r="D254" s="1043"/>
      <c r="E254" s="1102"/>
      <c r="F254" s="1102"/>
      <c r="G254" s="1028">
        <f t="shared" si="3"/>
        <v>0</v>
      </c>
      <c r="H254" s="1027"/>
      <c r="I254" s="1027"/>
    </row>
    <row r="255" spans="1:9">
      <c r="A255" s="1137"/>
      <c r="B255" s="1162"/>
      <c r="C255" s="1169"/>
      <c r="D255" s="1133"/>
      <c r="E255" s="1073"/>
      <c r="F255" s="1090"/>
      <c r="G255" s="1028">
        <f t="shared" si="3"/>
        <v>0</v>
      </c>
      <c r="H255" s="1027"/>
      <c r="I255" s="1027"/>
    </row>
    <row r="256" spans="1:9">
      <c r="A256" s="1137">
        <v>1</v>
      </c>
      <c r="B256" s="1132" t="s">
        <v>554</v>
      </c>
      <c r="C256" s="1169">
        <v>1</v>
      </c>
      <c r="D256" s="1133" t="s">
        <v>63</v>
      </c>
      <c r="E256" s="1073"/>
      <c r="F256" s="1090"/>
      <c r="G256" s="1028">
        <f t="shared" si="3"/>
        <v>0</v>
      </c>
      <c r="H256" s="1027"/>
      <c r="I256" s="1027"/>
    </row>
    <row r="257" spans="1:9" ht="42.75">
      <c r="A257" s="1137">
        <v>2</v>
      </c>
      <c r="B257" s="1132" t="s">
        <v>753</v>
      </c>
      <c r="C257" s="1169">
        <v>1</v>
      </c>
      <c r="D257" s="1133" t="s">
        <v>63</v>
      </c>
      <c r="E257" s="1073"/>
      <c r="F257" s="1090"/>
      <c r="G257" s="1028">
        <f t="shared" si="3"/>
        <v>0</v>
      </c>
      <c r="H257" s="1027"/>
      <c r="I257" s="1027"/>
    </row>
    <row r="258" spans="1:9">
      <c r="A258" s="1137"/>
      <c r="B258" s="1162"/>
      <c r="C258" s="1169"/>
      <c r="D258" s="1133"/>
      <c r="E258" s="1073"/>
      <c r="F258" s="1090"/>
      <c r="G258" s="1028">
        <f t="shared" ref="G258:G323" si="5">+C258*E258</f>
        <v>0</v>
      </c>
      <c r="H258" s="1027"/>
      <c r="I258" s="1027"/>
    </row>
    <row r="259" spans="1:9" s="1039" customFormat="1" ht="17.25">
      <c r="A259" s="1136">
        <v>3</v>
      </c>
      <c r="B259" s="1143" t="s">
        <v>754</v>
      </c>
      <c r="C259" s="1190"/>
      <c r="D259" s="1198"/>
      <c r="E259" s="1077"/>
      <c r="F259" s="1096"/>
      <c r="G259" s="1028">
        <f t="shared" si="5"/>
        <v>0</v>
      </c>
      <c r="H259" s="1031"/>
      <c r="I259" s="1031"/>
    </row>
    <row r="260" spans="1:9" ht="16.5">
      <c r="A260" s="1137">
        <v>3.1</v>
      </c>
      <c r="B260" s="1132" t="s">
        <v>755</v>
      </c>
      <c r="C260" s="1044">
        <v>1.45</v>
      </c>
      <c r="D260" s="1133" t="s">
        <v>756</v>
      </c>
      <c r="E260" s="1073"/>
      <c r="F260" s="1090"/>
      <c r="G260" s="1028">
        <f t="shared" si="5"/>
        <v>0</v>
      </c>
      <c r="H260" s="1027"/>
      <c r="I260" s="1027"/>
    </row>
    <row r="261" spans="1:9" ht="30.75">
      <c r="A261" s="1137">
        <v>3.2</v>
      </c>
      <c r="B261" s="1132" t="s">
        <v>757</v>
      </c>
      <c r="C261" s="1044">
        <v>0.32</v>
      </c>
      <c r="D261" s="1133" t="s">
        <v>756</v>
      </c>
      <c r="E261" s="1073"/>
      <c r="F261" s="1090"/>
      <c r="G261" s="1028">
        <f t="shared" si="5"/>
        <v>0</v>
      </c>
      <c r="H261" s="1027"/>
      <c r="I261" s="1027"/>
    </row>
    <row r="262" spans="1:9" ht="30.75">
      <c r="A262" s="1137">
        <v>3.3</v>
      </c>
      <c r="B262" s="1132" t="s">
        <v>758</v>
      </c>
      <c r="C262" s="1044">
        <v>0.18</v>
      </c>
      <c r="D262" s="1133" t="s">
        <v>756</v>
      </c>
      <c r="E262" s="1073"/>
      <c r="F262" s="1090"/>
      <c r="G262" s="1028">
        <f t="shared" si="5"/>
        <v>0</v>
      </c>
      <c r="H262" s="1027"/>
      <c r="I262" s="1027"/>
    </row>
    <row r="263" spans="1:9" ht="16.5">
      <c r="A263" s="1137">
        <v>3.4</v>
      </c>
      <c r="B263" s="1132" t="s">
        <v>759</v>
      </c>
      <c r="C263" s="1044">
        <v>0.11</v>
      </c>
      <c r="D263" s="1133" t="s">
        <v>756</v>
      </c>
      <c r="E263" s="1073"/>
      <c r="F263" s="1090"/>
      <c r="G263" s="1028">
        <f t="shared" si="5"/>
        <v>0</v>
      </c>
      <c r="H263" s="1027"/>
      <c r="I263" s="1027"/>
    </row>
    <row r="264" spans="1:9" ht="16.5">
      <c r="A264" s="1137">
        <v>3.5</v>
      </c>
      <c r="B264" s="1132" t="s">
        <v>760</v>
      </c>
      <c r="C264" s="1044">
        <v>0.37</v>
      </c>
      <c r="D264" s="1133" t="s">
        <v>756</v>
      </c>
      <c r="E264" s="1073"/>
      <c r="F264" s="1090"/>
      <c r="G264" s="1028">
        <f t="shared" si="5"/>
        <v>0</v>
      </c>
      <c r="H264" s="1027"/>
      <c r="I264" s="1027"/>
    </row>
    <row r="265" spans="1:9" ht="16.5">
      <c r="A265" s="1137">
        <v>3.6</v>
      </c>
      <c r="B265" s="1132" t="s">
        <v>761</v>
      </c>
      <c r="C265" s="1044">
        <v>0.12</v>
      </c>
      <c r="D265" s="1133" t="s">
        <v>756</v>
      </c>
      <c r="E265" s="1073"/>
      <c r="F265" s="1090"/>
      <c r="G265" s="1028">
        <f t="shared" si="5"/>
        <v>0</v>
      </c>
      <c r="H265" s="1027"/>
      <c r="I265" s="1027"/>
    </row>
    <row r="266" spans="1:9" ht="16.5">
      <c r="A266" s="1137">
        <v>3.7</v>
      </c>
      <c r="B266" s="1132" t="s">
        <v>762</v>
      </c>
      <c r="C266" s="1044">
        <v>0.81</v>
      </c>
      <c r="D266" s="1133" t="s">
        <v>756</v>
      </c>
      <c r="E266" s="1073"/>
      <c r="F266" s="1090"/>
      <c r="G266" s="1028">
        <f t="shared" si="5"/>
        <v>0</v>
      </c>
      <c r="H266" s="1027"/>
      <c r="I266" s="1027"/>
    </row>
    <row r="267" spans="1:9">
      <c r="A267" s="1137"/>
      <c r="B267" s="1162"/>
      <c r="C267" s="1169"/>
      <c r="D267" s="1133"/>
      <c r="E267" s="1073"/>
      <c r="F267" s="1090"/>
      <c r="G267" s="1028">
        <f t="shared" si="5"/>
        <v>0</v>
      </c>
      <c r="H267" s="1027"/>
      <c r="I267" s="1027"/>
    </row>
    <row r="268" spans="1:9" s="1039" customFormat="1" ht="15">
      <c r="A268" s="1136">
        <v>4</v>
      </c>
      <c r="B268" s="1143" t="s">
        <v>763</v>
      </c>
      <c r="C268" s="1190"/>
      <c r="D268" s="1198"/>
      <c r="E268" s="1077"/>
      <c r="F268" s="1096"/>
      <c r="G268" s="1028">
        <f t="shared" si="5"/>
        <v>0</v>
      </c>
      <c r="H268" s="1031"/>
      <c r="I268" s="1031"/>
    </row>
    <row r="269" spans="1:9" ht="16.5">
      <c r="A269" s="1137">
        <v>4.0999999999999996</v>
      </c>
      <c r="B269" s="1162" t="s">
        <v>764</v>
      </c>
      <c r="C269" s="1169">
        <v>4.82</v>
      </c>
      <c r="D269" s="1133" t="s">
        <v>765</v>
      </c>
      <c r="E269" s="1073"/>
      <c r="F269" s="1090"/>
      <c r="G269" s="1028">
        <f t="shared" si="5"/>
        <v>0</v>
      </c>
      <c r="H269" s="1027"/>
      <c r="I269" s="1027"/>
    </row>
    <row r="270" spans="1:9" ht="16.5">
      <c r="A270" s="1137">
        <v>4.2</v>
      </c>
      <c r="B270" s="1162" t="s">
        <v>766</v>
      </c>
      <c r="C270" s="1169">
        <v>22.69</v>
      </c>
      <c r="D270" s="1133" t="s">
        <v>765</v>
      </c>
      <c r="E270" s="1073"/>
      <c r="F270" s="1090"/>
      <c r="G270" s="1028">
        <f t="shared" si="5"/>
        <v>0</v>
      </c>
      <c r="H270" s="1027"/>
      <c r="I270" s="1027"/>
    </row>
    <row r="271" spans="1:9">
      <c r="A271" s="1137"/>
      <c r="B271" s="1162"/>
      <c r="C271" s="1169"/>
      <c r="D271" s="1133"/>
      <c r="E271" s="1073"/>
      <c r="F271" s="1090"/>
      <c r="G271" s="1028">
        <f t="shared" si="5"/>
        <v>0</v>
      </c>
      <c r="H271" s="1027"/>
      <c r="I271" s="1027"/>
    </row>
    <row r="272" spans="1:9" s="1039" customFormat="1" ht="15">
      <c r="A272" s="1199">
        <v>5</v>
      </c>
      <c r="B272" s="1143" t="s">
        <v>668</v>
      </c>
      <c r="C272" s="1190"/>
      <c r="D272" s="1198"/>
      <c r="E272" s="1077"/>
      <c r="F272" s="1096"/>
      <c r="G272" s="1028">
        <f t="shared" si="5"/>
        <v>0</v>
      </c>
      <c r="H272" s="1031"/>
      <c r="I272" s="1031"/>
    </row>
    <row r="273" spans="1:9" ht="16.5">
      <c r="A273" s="1175">
        <v>5.0999999999999996</v>
      </c>
      <c r="B273" s="1132" t="s">
        <v>767</v>
      </c>
      <c r="C273" s="1169">
        <v>9.77</v>
      </c>
      <c r="D273" s="1133" t="s">
        <v>765</v>
      </c>
      <c r="E273" s="1073"/>
      <c r="F273" s="1090"/>
      <c r="G273" s="1028">
        <f t="shared" si="5"/>
        <v>0</v>
      </c>
      <c r="H273" s="1027"/>
      <c r="I273" s="1027"/>
    </row>
    <row r="274" spans="1:9" ht="16.5">
      <c r="A274" s="1175">
        <v>5.2</v>
      </c>
      <c r="B274" s="1132" t="s">
        <v>768</v>
      </c>
      <c r="C274" s="1169">
        <v>26.04</v>
      </c>
      <c r="D274" s="1133" t="s">
        <v>765</v>
      </c>
      <c r="E274" s="1073"/>
      <c r="F274" s="1090"/>
      <c r="G274" s="1028">
        <f t="shared" si="5"/>
        <v>0</v>
      </c>
      <c r="H274" s="1027"/>
      <c r="I274" s="1027"/>
    </row>
    <row r="275" spans="1:9" ht="16.5">
      <c r="A275" s="1175">
        <v>5.3</v>
      </c>
      <c r="B275" s="1132" t="s">
        <v>769</v>
      </c>
      <c r="C275" s="1169">
        <v>20.94</v>
      </c>
      <c r="D275" s="1133" t="s">
        <v>765</v>
      </c>
      <c r="E275" s="1073"/>
      <c r="F275" s="1090"/>
      <c r="G275" s="1028">
        <f t="shared" si="5"/>
        <v>0</v>
      </c>
      <c r="H275" s="1027"/>
      <c r="I275" s="1027"/>
    </row>
    <row r="276" spans="1:9" ht="16.5">
      <c r="A276" s="1175">
        <v>5.4</v>
      </c>
      <c r="B276" s="1132" t="s">
        <v>770</v>
      </c>
      <c r="C276" s="1169">
        <v>9.6199999999999992</v>
      </c>
      <c r="D276" s="1133" t="s">
        <v>765</v>
      </c>
      <c r="E276" s="1073"/>
      <c r="F276" s="1090"/>
      <c r="G276" s="1028">
        <f t="shared" si="5"/>
        <v>0</v>
      </c>
      <c r="H276" s="1027"/>
      <c r="I276" s="1027"/>
    </row>
    <row r="277" spans="1:9" ht="28.5">
      <c r="A277" s="1175">
        <v>5.5</v>
      </c>
      <c r="B277" s="1132" t="s">
        <v>771</v>
      </c>
      <c r="C277" s="1169">
        <v>46.64</v>
      </c>
      <c r="D277" s="1133" t="s">
        <v>765</v>
      </c>
      <c r="E277" s="1073"/>
      <c r="F277" s="1090"/>
      <c r="G277" s="1028">
        <f t="shared" si="5"/>
        <v>0</v>
      </c>
      <c r="H277" s="1027"/>
      <c r="I277" s="1027"/>
    </row>
    <row r="278" spans="1:9">
      <c r="A278" s="1175">
        <v>5.6</v>
      </c>
      <c r="B278" s="1132" t="s">
        <v>671</v>
      </c>
      <c r="C278" s="1169">
        <v>35.6</v>
      </c>
      <c r="D278" s="1133" t="s">
        <v>89</v>
      </c>
      <c r="E278" s="1073"/>
      <c r="F278" s="1090"/>
      <c r="G278" s="1028">
        <f t="shared" si="5"/>
        <v>0</v>
      </c>
      <c r="H278" s="1027"/>
      <c r="I278" s="1027"/>
    </row>
    <row r="279" spans="1:9">
      <c r="A279" s="1175">
        <v>5.7</v>
      </c>
      <c r="B279" s="1132" t="s">
        <v>692</v>
      </c>
      <c r="C279" s="1169">
        <v>2.02</v>
      </c>
      <c r="D279" s="1133" t="s">
        <v>89</v>
      </c>
      <c r="E279" s="1073"/>
      <c r="F279" s="1090"/>
      <c r="G279" s="1028">
        <f t="shared" si="5"/>
        <v>0</v>
      </c>
      <c r="H279" s="1027"/>
      <c r="I279" s="1027"/>
    </row>
    <row r="280" spans="1:9">
      <c r="A280" s="1175">
        <v>5.8</v>
      </c>
      <c r="B280" s="1132" t="s">
        <v>673</v>
      </c>
      <c r="C280" s="1169">
        <v>10.1</v>
      </c>
      <c r="D280" s="1133" t="s">
        <v>89</v>
      </c>
      <c r="E280" s="1073"/>
      <c r="F280" s="1090"/>
      <c r="G280" s="1028">
        <f t="shared" si="5"/>
        <v>0</v>
      </c>
      <c r="H280" s="1027"/>
      <c r="I280" s="1027"/>
    </row>
    <row r="281" spans="1:9">
      <c r="A281" s="1175">
        <v>5.9</v>
      </c>
      <c r="B281" s="1200" t="s">
        <v>772</v>
      </c>
      <c r="C281" s="1201">
        <v>6.02</v>
      </c>
      <c r="D281" s="1133" t="s">
        <v>89</v>
      </c>
      <c r="E281" s="1073"/>
      <c r="F281" s="1090"/>
      <c r="G281" s="1028"/>
      <c r="H281" s="1027"/>
      <c r="I281" s="1027"/>
    </row>
    <row r="282" spans="1:9">
      <c r="A282" s="1202">
        <v>5.0999999999999996</v>
      </c>
      <c r="B282" s="1200" t="s">
        <v>773</v>
      </c>
      <c r="C282" s="1201">
        <v>10.58</v>
      </c>
      <c r="D282" s="1133" t="s">
        <v>65</v>
      </c>
      <c r="E282" s="1073"/>
      <c r="F282" s="1090"/>
      <c r="G282" s="1028"/>
      <c r="H282" s="1027"/>
      <c r="I282" s="1027"/>
    </row>
    <row r="283" spans="1:9">
      <c r="A283" s="1175">
        <v>5.1100000000000003</v>
      </c>
      <c r="B283" s="1200" t="s">
        <v>774</v>
      </c>
      <c r="C283" s="1201">
        <v>2.84</v>
      </c>
      <c r="D283" s="1133" t="s">
        <v>65</v>
      </c>
      <c r="E283" s="1073"/>
      <c r="F283" s="1090"/>
      <c r="G283" s="1028"/>
      <c r="H283" s="1027"/>
      <c r="I283" s="1027"/>
    </row>
    <row r="284" spans="1:9">
      <c r="A284" s="1175"/>
      <c r="B284" s="1200"/>
      <c r="C284" s="1201"/>
      <c r="D284" s="1133"/>
      <c r="E284" s="1073"/>
      <c r="F284" s="1090"/>
      <c r="G284" s="1028"/>
      <c r="H284" s="1027"/>
      <c r="I284" s="1027"/>
    </row>
    <row r="285" spans="1:9" ht="28.5">
      <c r="A285" s="1175">
        <v>6</v>
      </c>
      <c r="B285" s="1132" t="s">
        <v>775</v>
      </c>
      <c r="C285" s="1169">
        <v>5.3</v>
      </c>
      <c r="D285" s="1133" t="s">
        <v>765</v>
      </c>
      <c r="E285" s="1073"/>
      <c r="F285" s="1090"/>
      <c r="G285" s="1028">
        <f t="shared" si="5"/>
        <v>0</v>
      </c>
      <c r="H285" s="1027"/>
      <c r="I285" s="1027"/>
    </row>
    <row r="286" spans="1:9">
      <c r="A286" s="1175"/>
      <c r="B286" s="1132"/>
      <c r="C286" s="1169"/>
      <c r="D286" s="1133"/>
      <c r="E286" s="1073"/>
      <c r="F286" s="1090"/>
      <c r="G286" s="1028"/>
      <c r="H286" s="1027"/>
      <c r="I286" s="1027"/>
    </row>
    <row r="287" spans="1:9" ht="16.5">
      <c r="A287" s="1175">
        <v>7</v>
      </c>
      <c r="B287" s="1132" t="s">
        <v>776</v>
      </c>
      <c r="C287" s="1169">
        <v>6.06</v>
      </c>
      <c r="D287" s="1133" t="s">
        <v>765</v>
      </c>
      <c r="E287" s="1073"/>
      <c r="F287" s="1090"/>
      <c r="G287" s="1028">
        <f t="shared" si="5"/>
        <v>0</v>
      </c>
      <c r="H287" s="1027"/>
      <c r="I287" s="1027"/>
    </row>
    <row r="288" spans="1:9">
      <c r="A288" s="1175"/>
      <c r="B288" s="1132"/>
      <c r="C288" s="1169"/>
      <c r="D288" s="1133"/>
      <c r="E288" s="1073"/>
      <c r="F288" s="1090"/>
      <c r="G288" s="1028"/>
      <c r="H288" s="1027"/>
      <c r="I288" s="1027"/>
    </row>
    <row r="289" spans="1:9" ht="15">
      <c r="A289" s="1177">
        <v>8</v>
      </c>
      <c r="B289" s="1134" t="s">
        <v>777</v>
      </c>
      <c r="C289" s="1169"/>
      <c r="D289" s="1133"/>
      <c r="E289" s="1073"/>
      <c r="F289" s="1090"/>
      <c r="G289" s="1028"/>
      <c r="H289" s="1027"/>
      <c r="I289" s="1027"/>
    </row>
    <row r="290" spans="1:9">
      <c r="A290" s="1175">
        <v>8.1</v>
      </c>
      <c r="B290" s="1203" t="s">
        <v>778</v>
      </c>
      <c r="C290" s="1169">
        <v>15.2</v>
      </c>
      <c r="D290" s="1133" t="s">
        <v>89</v>
      </c>
      <c r="E290" s="1073"/>
      <c r="F290" s="1090"/>
      <c r="G290" s="1028">
        <f t="shared" si="5"/>
        <v>0</v>
      </c>
      <c r="H290" s="1027"/>
      <c r="I290" s="1027"/>
    </row>
    <row r="291" spans="1:9" ht="25.5">
      <c r="A291" s="1175">
        <v>8.1999999999999993</v>
      </c>
      <c r="B291" s="1204" t="s">
        <v>779</v>
      </c>
      <c r="C291" s="1169">
        <v>1</v>
      </c>
      <c r="D291" s="1133" t="s">
        <v>549</v>
      </c>
      <c r="E291" s="1073"/>
      <c r="F291" s="1090"/>
      <c r="G291" s="1028">
        <f t="shared" si="5"/>
        <v>0</v>
      </c>
      <c r="H291" s="1027"/>
      <c r="I291" s="1027"/>
    </row>
    <row r="292" spans="1:9" ht="25.5">
      <c r="A292" s="1205">
        <v>8.3000000000000007</v>
      </c>
      <c r="B292" s="1206" t="s">
        <v>780</v>
      </c>
      <c r="C292" s="1191">
        <v>1</v>
      </c>
      <c r="D292" s="1207" t="s">
        <v>549</v>
      </c>
      <c r="E292" s="1097"/>
      <c r="F292" s="1098"/>
      <c r="G292" s="1028"/>
      <c r="H292" s="1027"/>
      <c r="I292" s="1027"/>
    </row>
    <row r="293" spans="1:9">
      <c r="A293" s="1175"/>
      <c r="B293" s="1132"/>
      <c r="C293" s="1169"/>
      <c r="D293" s="1133"/>
      <c r="E293" s="1073"/>
      <c r="F293" s="1090"/>
      <c r="G293" s="1028"/>
      <c r="H293" s="1027"/>
      <c r="I293" s="1027"/>
    </row>
    <row r="294" spans="1:9" ht="15">
      <c r="A294" s="1177">
        <v>9</v>
      </c>
      <c r="B294" s="1208" t="s">
        <v>781</v>
      </c>
      <c r="C294" s="1201"/>
      <c r="D294" s="1209"/>
      <c r="E294" s="1103"/>
      <c r="F294" s="1090"/>
      <c r="G294" s="1028"/>
      <c r="H294" s="1027"/>
      <c r="I294" s="1027"/>
    </row>
    <row r="295" spans="1:9" ht="25.5">
      <c r="A295" s="1175">
        <v>9.1</v>
      </c>
      <c r="B295" s="1210" t="s">
        <v>782</v>
      </c>
      <c r="C295" s="1201">
        <v>23.25</v>
      </c>
      <c r="D295" s="1209" t="s">
        <v>61</v>
      </c>
      <c r="E295" s="1103"/>
      <c r="F295" s="1090"/>
      <c r="G295" s="1028"/>
      <c r="H295" s="1027"/>
      <c r="I295" s="1027"/>
    </row>
    <row r="296" spans="1:9" ht="25.5">
      <c r="A296" s="1175">
        <v>9.1999999999999993</v>
      </c>
      <c r="B296" s="1204" t="s">
        <v>783</v>
      </c>
      <c r="C296" s="1211">
        <v>1</v>
      </c>
      <c r="D296" s="1212" t="s">
        <v>549</v>
      </c>
      <c r="E296" s="1104"/>
      <c r="F296" s="1093"/>
      <c r="G296" s="1028"/>
      <c r="H296" s="1027"/>
      <c r="I296" s="1027"/>
    </row>
    <row r="297" spans="1:9">
      <c r="A297" s="1175"/>
      <c r="B297" s="1132"/>
      <c r="C297" s="1169"/>
      <c r="D297" s="1133"/>
      <c r="E297" s="1073"/>
      <c r="F297" s="1090"/>
      <c r="G297" s="1028"/>
      <c r="H297" s="1027"/>
      <c r="I297" s="1027"/>
    </row>
    <row r="298" spans="1:9" s="1039" customFormat="1" ht="15">
      <c r="A298" s="1199">
        <v>10</v>
      </c>
      <c r="B298" s="1143" t="s">
        <v>784</v>
      </c>
      <c r="C298" s="1190"/>
      <c r="D298" s="1198"/>
      <c r="E298" s="1077"/>
      <c r="F298" s="1096"/>
      <c r="G298" s="1028">
        <f t="shared" si="5"/>
        <v>0</v>
      </c>
      <c r="H298" s="1031"/>
      <c r="I298" s="1031"/>
    </row>
    <row r="299" spans="1:9">
      <c r="A299" s="1213">
        <v>10.1</v>
      </c>
      <c r="B299" s="1132" t="s">
        <v>785</v>
      </c>
      <c r="C299" s="1169">
        <v>1</v>
      </c>
      <c r="D299" s="1133" t="s">
        <v>549</v>
      </c>
      <c r="E299" s="1073"/>
      <c r="F299" s="1090"/>
      <c r="G299" s="1028">
        <f t="shared" si="5"/>
        <v>0</v>
      </c>
      <c r="H299" s="1027"/>
      <c r="I299" s="1027"/>
    </row>
    <row r="300" spans="1:9">
      <c r="A300" s="1213">
        <v>10.199999999999999</v>
      </c>
      <c r="B300" s="1132" t="s">
        <v>786</v>
      </c>
      <c r="C300" s="1169">
        <v>1</v>
      </c>
      <c r="D300" s="1133" t="s">
        <v>549</v>
      </c>
      <c r="E300" s="1073"/>
      <c r="F300" s="1090"/>
      <c r="G300" s="1028">
        <f t="shared" si="5"/>
        <v>0</v>
      </c>
      <c r="H300" s="1027"/>
      <c r="I300" s="1027"/>
    </row>
    <row r="301" spans="1:9">
      <c r="A301" s="1213">
        <v>10.3</v>
      </c>
      <c r="B301" s="1200" t="s">
        <v>787</v>
      </c>
      <c r="C301" s="1214">
        <v>1</v>
      </c>
      <c r="D301" s="1215" t="s">
        <v>127</v>
      </c>
      <c r="E301" s="1103"/>
      <c r="F301" s="1105"/>
      <c r="G301" s="1028"/>
      <c r="H301" s="1027"/>
      <c r="I301" s="1027"/>
    </row>
    <row r="302" spans="1:9">
      <c r="A302" s="1213">
        <v>10.4</v>
      </c>
      <c r="B302" s="1132" t="s">
        <v>788</v>
      </c>
      <c r="C302" s="1169">
        <v>1</v>
      </c>
      <c r="D302" s="1133" t="s">
        <v>549</v>
      </c>
      <c r="E302" s="1073"/>
      <c r="F302" s="1090"/>
      <c r="G302" s="1028">
        <f t="shared" si="5"/>
        <v>0</v>
      </c>
      <c r="H302" s="1027"/>
      <c r="I302" s="1027"/>
    </row>
    <row r="303" spans="1:9">
      <c r="A303" s="1213">
        <v>10.5</v>
      </c>
      <c r="B303" s="1132" t="s">
        <v>789</v>
      </c>
      <c r="C303" s="1169">
        <v>1</v>
      </c>
      <c r="D303" s="1133" t="s">
        <v>549</v>
      </c>
      <c r="E303" s="1073"/>
      <c r="F303" s="1090"/>
      <c r="G303" s="1028">
        <f t="shared" si="5"/>
        <v>0</v>
      </c>
      <c r="H303" s="1027"/>
      <c r="I303" s="1027"/>
    </row>
    <row r="304" spans="1:9">
      <c r="A304" s="1213">
        <v>10.6</v>
      </c>
      <c r="B304" s="1132" t="s">
        <v>790</v>
      </c>
      <c r="C304" s="1169">
        <v>2</v>
      </c>
      <c r="D304" s="1133" t="s">
        <v>549</v>
      </c>
      <c r="E304" s="1073"/>
      <c r="F304" s="1090"/>
      <c r="G304" s="1028">
        <f t="shared" si="5"/>
        <v>0</v>
      </c>
      <c r="H304" s="1027"/>
      <c r="I304" s="1027"/>
    </row>
    <row r="305" spans="1:9">
      <c r="A305" s="1213">
        <v>10.7</v>
      </c>
      <c r="B305" s="1132" t="s">
        <v>791</v>
      </c>
      <c r="C305" s="1214">
        <v>1</v>
      </c>
      <c r="D305" s="1215" t="s">
        <v>127</v>
      </c>
      <c r="E305" s="1073"/>
      <c r="F305" s="1105"/>
      <c r="G305" s="1028"/>
      <c r="H305" s="1027"/>
      <c r="I305" s="1027"/>
    </row>
    <row r="306" spans="1:9">
      <c r="A306" s="1213">
        <v>10.8</v>
      </c>
      <c r="B306" s="1132" t="s">
        <v>792</v>
      </c>
      <c r="C306" s="1169">
        <v>1</v>
      </c>
      <c r="D306" s="1133" t="s">
        <v>549</v>
      </c>
      <c r="E306" s="1073"/>
      <c r="F306" s="1090"/>
      <c r="G306" s="1028">
        <f t="shared" si="5"/>
        <v>0</v>
      </c>
      <c r="H306" s="1027"/>
      <c r="I306" s="1027"/>
    </row>
    <row r="307" spans="1:9">
      <c r="A307" s="1213">
        <v>10.9</v>
      </c>
      <c r="B307" s="1132" t="s">
        <v>793</v>
      </c>
      <c r="C307" s="1169">
        <v>1</v>
      </c>
      <c r="D307" s="1133" t="s">
        <v>549</v>
      </c>
      <c r="E307" s="1073"/>
      <c r="F307" s="1090"/>
      <c r="G307" s="1028">
        <f t="shared" si="5"/>
        <v>0</v>
      </c>
      <c r="H307" s="1027"/>
      <c r="I307" s="1027"/>
    </row>
    <row r="308" spans="1:9">
      <c r="A308" s="1202">
        <v>10.1</v>
      </c>
      <c r="B308" s="1132" t="s">
        <v>794</v>
      </c>
      <c r="C308" s="1169">
        <v>1</v>
      </c>
      <c r="D308" s="1133" t="s">
        <v>549</v>
      </c>
      <c r="E308" s="1073"/>
      <c r="F308" s="1090"/>
      <c r="G308" s="1028">
        <f t="shared" si="5"/>
        <v>0</v>
      </c>
      <c r="H308" s="1027"/>
      <c r="I308" s="1027"/>
    </row>
    <row r="309" spans="1:9">
      <c r="A309" s="1202">
        <v>10.11</v>
      </c>
      <c r="B309" s="1132" t="s">
        <v>795</v>
      </c>
      <c r="C309" s="1169">
        <v>1</v>
      </c>
      <c r="D309" s="1133" t="s">
        <v>63</v>
      </c>
      <c r="E309" s="1073"/>
      <c r="F309" s="1090"/>
      <c r="G309" s="1028">
        <f t="shared" si="5"/>
        <v>0</v>
      </c>
      <c r="H309" s="1027"/>
      <c r="I309" s="1027"/>
    </row>
    <row r="310" spans="1:9">
      <c r="A310" s="1202">
        <v>10.119999999999999</v>
      </c>
      <c r="B310" s="1132" t="s">
        <v>796</v>
      </c>
      <c r="C310" s="1169">
        <v>1</v>
      </c>
      <c r="D310" s="1133" t="s">
        <v>549</v>
      </c>
      <c r="E310" s="1073"/>
      <c r="F310" s="1090"/>
      <c r="G310" s="1028">
        <f t="shared" si="5"/>
        <v>0</v>
      </c>
      <c r="H310" s="1027"/>
      <c r="I310" s="1027"/>
    </row>
    <row r="311" spans="1:9">
      <c r="A311" s="1202">
        <v>10.130000000000001</v>
      </c>
      <c r="B311" s="1132" t="s">
        <v>797</v>
      </c>
      <c r="C311" s="1169">
        <v>1</v>
      </c>
      <c r="D311" s="1133" t="s">
        <v>63</v>
      </c>
      <c r="E311" s="1073"/>
      <c r="F311" s="1090"/>
      <c r="G311" s="1028">
        <f t="shared" si="5"/>
        <v>0</v>
      </c>
      <c r="H311" s="1027"/>
      <c r="I311" s="1027"/>
    </row>
    <row r="312" spans="1:9">
      <c r="A312" s="1175"/>
      <c r="B312" s="1132"/>
      <c r="C312" s="1169"/>
      <c r="D312" s="1133"/>
      <c r="E312" s="1073"/>
      <c r="F312" s="1090"/>
      <c r="G312" s="1028">
        <f t="shared" si="5"/>
        <v>0</v>
      </c>
      <c r="H312" s="1027"/>
      <c r="I312" s="1027"/>
    </row>
    <row r="313" spans="1:9" s="1039" customFormat="1" ht="15">
      <c r="A313" s="1177">
        <v>11</v>
      </c>
      <c r="B313" s="1134" t="s">
        <v>798</v>
      </c>
      <c r="C313" s="1190"/>
      <c r="D313" s="1198"/>
      <c r="E313" s="1077"/>
      <c r="F313" s="1096"/>
      <c r="G313" s="1028">
        <f t="shared" si="5"/>
        <v>0</v>
      </c>
      <c r="H313" s="1031"/>
      <c r="I313" s="1031"/>
    </row>
    <row r="314" spans="1:9">
      <c r="A314" s="1175">
        <v>11.1</v>
      </c>
      <c r="B314" s="1132" t="s">
        <v>799</v>
      </c>
      <c r="C314" s="1169">
        <v>6</v>
      </c>
      <c r="D314" s="1133" t="s">
        <v>549</v>
      </c>
      <c r="E314" s="1073"/>
      <c r="F314" s="1090"/>
      <c r="G314" s="1028">
        <f t="shared" si="5"/>
        <v>0</v>
      </c>
      <c r="H314" s="1027"/>
      <c r="I314" s="1027"/>
    </row>
    <row r="315" spans="1:9">
      <c r="A315" s="1175">
        <v>11.2</v>
      </c>
      <c r="B315" s="1132" t="s">
        <v>800</v>
      </c>
      <c r="C315" s="1169">
        <v>1</v>
      </c>
      <c r="D315" s="1133" t="s">
        <v>549</v>
      </c>
      <c r="E315" s="1073"/>
      <c r="F315" s="1090"/>
      <c r="G315" s="1028">
        <f t="shared" si="5"/>
        <v>0</v>
      </c>
      <c r="H315" s="1027"/>
      <c r="I315" s="1027"/>
    </row>
    <row r="316" spans="1:9">
      <c r="A316" s="1175">
        <v>11.3</v>
      </c>
      <c r="B316" s="1132" t="s">
        <v>801</v>
      </c>
      <c r="C316" s="1169">
        <v>3</v>
      </c>
      <c r="D316" s="1133" t="s">
        <v>549</v>
      </c>
      <c r="E316" s="1073"/>
      <c r="F316" s="1090"/>
      <c r="G316" s="1028">
        <f t="shared" si="5"/>
        <v>0</v>
      </c>
      <c r="H316" s="1027"/>
      <c r="I316" s="1027"/>
    </row>
    <row r="317" spans="1:9">
      <c r="A317" s="1175">
        <v>11.4</v>
      </c>
      <c r="B317" s="1132" t="s">
        <v>802</v>
      </c>
      <c r="C317" s="1169">
        <v>3</v>
      </c>
      <c r="D317" s="1133" t="s">
        <v>549</v>
      </c>
      <c r="E317" s="1073"/>
      <c r="F317" s="1090"/>
      <c r="G317" s="1028">
        <f t="shared" si="5"/>
        <v>0</v>
      </c>
      <c r="H317" s="1027"/>
      <c r="I317" s="1027"/>
    </row>
    <row r="318" spans="1:9">
      <c r="A318" s="1175"/>
      <c r="B318" s="1132"/>
      <c r="C318" s="1169"/>
      <c r="D318" s="1133"/>
      <c r="E318" s="1073"/>
      <c r="F318" s="1090"/>
      <c r="G318" s="1028">
        <f t="shared" si="5"/>
        <v>0</v>
      </c>
      <c r="H318" s="1027"/>
      <c r="I318" s="1027"/>
    </row>
    <row r="319" spans="1:9">
      <c r="A319" s="1175">
        <v>12</v>
      </c>
      <c r="B319" s="1132" t="s">
        <v>700</v>
      </c>
      <c r="C319" s="1169">
        <v>1</v>
      </c>
      <c r="D319" s="1133" t="s">
        <v>549</v>
      </c>
      <c r="E319" s="1073"/>
      <c r="F319" s="1090"/>
      <c r="G319" s="1028">
        <f t="shared" si="5"/>
        <v>0</v>
      </c>
      <c r="H319" s="1027"/>
      <c r="I319" s="1027"/>
    </row>
    <row r="320" spans="1:9" ht="15">
      <c r="A320" s="1184"/>
      <c r="B320" s="1153" t="s">
        <v>803</v>
      </c>
      <c r="C320" s="1185"/>
      <c r="D320" s="1216"/>
      <c r="E320" s="1081"/>
      <c r="F320" s="1095"/>
      <c r="G320" s="1028">
        <f t="shared" si="5"/>
        <v>0</v>
      </c>
      <c r="H320" s="1027"/>
      <c r="I320" s="1027"/>
    </row>
    <row r="321" spans="1:9">
      <c r="A321" s="1137"/>
      <c r="B321" s="1162"/>
      <c r="C321" s="1169"/>
      <c r="D321" s="1133"/>
      <c r="E321" s="1073"/>
      <c r="F321" s="1090"/>
      <c r="G321" s="1028">
        <f t="shared" si="5"/>
        <v>0</v>
      </c>
      <c r="H321" s="1027"/>
      <c r="I321" s="1027"/>
    </row>
    <row r="322" spans="1:9" ht="15">
      <c r="A322" s="1217" t="s">
        <v>804</v>
      </c>
      <c r="B322" s="1218" t="s">
        <v>805</v>
      </c>
      <c r="C322" s="1047"/>
      <c r="D322" s="1149"/>
      <c r="E322" s="1045"/>
      <c r="F322" s="1106"/>
      <c r="G322" s="1028">
        <f t="shared" si="5"/>
        <v>0</v>
      </c>
      <c r="H322" s="1046"/>
      <c r="I322" s="1046"/>
    </row>
    <row r="323" spans="1:9" ht="71.25">
      <c r="A323" s="1219">
        <v>1</v>
      </c>
      <c r="B323" s="1132" t="s">
        <v>806</v>
      </c>
      <c r="C323" s="1047">
        <v>2</v>
      </c>
      <c r="D323" s="1149" t="s">
        <v>127</v>
      </c>
      <c r="E323" s="1045"/>
      <c r="F323" s="1045"/>
      <c r="G323" s="1028">
        <f t="shared" si="5"/>
        <v>0</v>
      </c>
      <c r="H323" s="1048"/>
      <c r="I323" s="1048"/>
    </row>
    <row r="324" spans="1:9">
      <c r="A324" s="1220">
        <v>2</v>
      </c>
      <c r="B324" s="1135" t="s">
        <v>807</v>
      </c>
      <c r="C324" s="1047">
        <v>8</v>
      </c>
      <c r="D324" s="1151" t="s">
        <v>808</v>
      </c>
      <c r="E324" s="1076"/>
      <c r="F324" s="1076"/>
      <c r="G324" s="1028">
        <f>+C324*E324</f>
        <v>0</v>
      </c>
      <c r="H324" s="1049"/>
      <c r="I324" s="1049"/>
    </row>
    <row r="325" spans="1:9" ht="15">
      <c r="A325" s="1221"/>
      <c r="B325" s="1222" t="s">
        <v>809</v>
      </c>
      <c r="C325" s="1221"/>
      <c r="D325" s="1223"/>
      <c r="E325" s="1050"/>
      <c r="F325" s="1107"/>
      <c r="G325" s="1028">
        <f>+C325*E325</f>
        <v>0</v>
      </c>
      <c r="H325" s="1046"/>
      <c r="I325" s="1046"/>
    </row>
    <row r="326" spans="1:9" ht="15">
      <c r="A326" s="1047"/>
      <c r="B326" s="1224"/>
      <c r="C326" s="1047"/>
      <c r="D326" s="1149"/>
      <c r="E326" s="1045"/>
      <c r="F326" s="1106"/>
      <c r="G326" s="1046">
        <f>SUM(G14:G325)</f>
        <v>0</v>
      </c>
      <c r="H326" s="1046"/>
      <c r="I326" s="1046"/>
    </row>
    <row r="327" spans="1:9" ht="15">
      <c r="A327" s="1225"/>
      <c r="B327" s="1226" t="s">
        <v>810</v>
      </c>
      <c r="C327" s="1227"/>
      <c r="D327" s="1228"/>
      <c r="E327" s="1108"/>
      <c r="F327" s="1099"/>
      <c r="G327" s="1029"/>
      <c r="H327" s="1029"/>
      <c r="I327" s="1029"/>
    </row>
    <row r="328" spans="1:9" ht="15">
      <c r="A328" s="1229"/>
      <c r="B328" s="1153" t="s">
        <v>810</v>
      </c>
      <c r="C328" s="1154"/>
      <c r="D328" s="1216"/>
      <c r="E328" s="1081"/>
      <c r="F328" s="1083"/>
      <c r="G328" s="1029"/>
      <c r="H328" s="1029"/>
      <c r="I328" s="1029"/>
    </row>
    <row r="329" spans="1:9" ht="15">
      <c r="A329" s="1230"/>
      <c r="B329" s="1231" t="s">
        <v>811</v>
      </c>
      <c r="C329" s="1129"/>
      <c r="D329" s="1133"/>
      <c r="E329" s="1073"/>
      <c r="F329" s="1077"/>
      <c r="G329" s="1029"/>
      <c r="H329" s="1029"/>
      <c r="I329" s="1029"/>
    </row>
    <row r="330" spans="1:9">
      <c r="A330" s="1230"/>
      <c r="B330" s="1147" t="s">
        <v>812</v>
      </c>
      <c r="C330" s="1232">
        <v>0.03</v>
      </c>
      <c r="D330" s="1232"/>
      <c r="E330" s="1073"/>
      <c r="F330" s="1073"/>
      <c r="G330" s="1028"/>
      <c r="H330" s="1028"/>
      <c r="I330" s="1028"/>
    </row>
    <row r="331" spans="1:9">
      <c r="A331" s="1230"/>
      <c r="B331" s="1147" t="s">
        <v>813</v>
      </c>
      <c r="C331" s="1232">
        <v>0.1</v>
      </c>
      <c r="D331" s="1232"/>
      <c r="E331" s="1073"/>
      <c r="F331" s="1073"/>
      <c r="G331" s="1028"/>
      <c r="H331" s="1028"/>
      <c r="I331" s="1028"/>
    </row>
    <row r="332" spans="1:9">
      <c r="A332" s="1230"/>
      <c r="B332" s="1147" t="s">
        <v>814</v>
      </c>
      <c r="C332" s="1232">
        <v>0.04</v>
      </c>
      <c r="D332" s="1232"/>
      <c r="E332" s="1073"/>
      <c r="F332" s="1073"/>
      <c r="G332" s="1028"/>
      <c r="H332" s="1028"/>
      <c r="I332" s="1028"/>
    </row>
    <row r="333" spans="1:9">
      <c r="A333" s="1230"/>
      <c r="B333" s="1147" t="s">
        <v>815</v>
      </c>
      <c r="C333" s="1232">
        <v>0.05</v>
      </c>
      <c r="D333" s="1232"/>
      <c r="E333" s="1073"/>
      <c r="F333" s="1073"/>
      <c r="G333" s="1028"/>
      <c r="H333" s="1028"/>
      <c r="I333" s="1028"/>
    </row>
    <row r="334" spans="1:9">
      <c r="A334" s="1230"/>
      <c r="B334" s="1147" t="s">
        <v>816</v>
      </c>
      <c r="C334" s="1232">
        <v>0.03</v>
      </c>
      <c r="D334" s="1232"/>
      <c r="E334" s="1073"/>
      <c r="F334" s="1073"/>
      <c r="G334" s="1028"/>
      <c r="H334" s="1028"/>
      <c r="I334" s="1028"/>
    </row>
    <row r="335" spans="1:9">
      <c r="A335" s="1230"/>
      <c r="B335" s="1147" t="s">
        <v>817</v>
      </c>
      <c r="C335" s="1232">
        <v>0.01</v>
      </c>
      <c r="D335" s="1232"/>
      <c r="E335" s="1073"/>
      <c r="F335" s="1073"/>
      <c r="G335" s="1028"/>
      <c r="H335" s="1028"/>
      <c r="I335" s="1028"/>
    </row>
    <row r="336" spans="1:9">
      <c r="A336" s="1230"/>
      <c r="B336" s="1147" t="s">
        <v>818</v>
      </c>
      <c r="C336" s="1232">
        <v>1E-3</v>
      </c>
      <c r="D336" s="1232"/>
      <c r="E336" s="1073"/>
      <c r="F336" s="1073"/>
      <c r="G336" s="1028"/>
      <c r="H336" s="1028"/>
      <c r="I336" s="1028"/>
    </row>
    <row r="337" spans="1:9">
      <c r="A337" s="1230"/>
      <c r="B337" s="1147" t="s">
        <v>819</v>
      </c>
      <c r="C337" s="1233">
        <v>0.18</v>
      </c>
      <c r="D337" s="1232"/>
      <c r="E337" s="1073"/>
      <c r="F337" s="1073"/>
      <c r="G337" s="1028"/>
      <c r="H337" s="1028"/>
      <c r="I337" s="1028"/>
    </row>
    <row r="338" spans="1:9">
      <c r="A338" s="1230"/>
      <c r="B338" s="1147" t="s">
        <v>820</v>
      </c>
      <c r="C338" s="1232">
        <v>0.1</v>
      </c>
      <c r="D338" s="1232"/>
      <c r="E338" s="1073"/>
      <c r="F338" s="1073"/>
      <c r="G338" s="1028"/>
      <c r="H338" s="1028"/>
      <c r="I338" s="1028"/>
    </row>
    <row r="339" spans="1:9" ht="28.5">
      <c r="A339" s="1230"/>
      <c r="B339" s="1137" t="s">
        <v>821</v>
      </c>
      <c r="C339" s="1234">
        <v>0.03</v>
      </c>
      <c r="D339" s="1232"/>
      <c r="E339" s="1073"/>
      <c r="F339" s="1073"/>
      <c r="G339" s="1028"/>
      <c r="H339" s="1028"/>
      <c r="I339" s="1028"/>
    </row>
    <row r="340" spans="1:9">
      <c r="A340" s="1230"/>
      <c r="B340" s="1137" t="s">
        <v>822</v>
      </c>
      <c r="C340" s="1234">
        <v>1.4999999999999999E-2</v>
      </c>
      <c r="D340" s="1232"/>
      <c r="E340" s="1073"/>
      <c r="F340" s="1073"/>
      <c r="G340" s="1028"/>
      <c r="H340" s="1028"/>
      <c r="I340" s="1028"/>
    </row>
    <row r="341" spans="1:9">
      <c r="A341" s="1230"/>
      <c r="B341" s="1147" t="s">
        <v>823</v>
      </c>
      <c r="C341" s="1232">
        <v>0.05</v>
      </c>
      <c r="D341" s="1232"/>
      <c r="E341" s="1073"/>
      <c r="F341" s="1073"/>
      <c r="G341" s="1028"/>
      <c r="H341" s="1028"/>
      <c r="I341" s="1028"/>
    </row>
    <row r="342" spans="1:9">
      <c r="A342" s="1230"/>
      <c r="B342" s="1137" t="s">
        <v>824</v>
      </c>
      <c r="C342" s="1169">
        <v>1</v>
      </c>
      <c r="D342" s="1235" t="s">
        <v>127</v>
      </c>
      <c r="E342" s="1073"/>
      <c r="F342" s="1088"/>
      <c r="G342" s="1028"/>
      <c r="H342" s="1028"/>
      <c r="I342" s="1028"/>
    </row>
    <row r="343" spans="1:9">
      <c r="A343" s="1230"/>
      <c r="B343" s="1137" t="s">
        <v>825</v>
      </c>
      <c r="C343" s="1236">
        <v>1</v>
      </c>
      <c r="D343" s="1237" t="s">
        <v>127</v>
      </c>
      <c r="E343" s="1109"/>
      <c r="F343" s="1110"/>
      <c r="G343" s="1028"/>
      <c r="H343" s="1028"/>
      <c r="I343" s="1028"/>
    </row>
    <row r="344" spans="1:9">
      <c r="A344" s="1230"/>
      <c r="B344" s="1137" t="s">
        <v>826</v>
      </c>
      <c r="C344" s="1236">
        <v>1</v>
      </c>
      <c r="D344" s="1230" t="s">
        <v>127</v>
      </c>
      <c r="E344" s="1073"/>
      <c r="F344" s="1110"/>
      <c r="G344" s="1028"/>
      <c r="H344" s="1028"/>
      <c r="I344" s="1028"/>
    </row>
    <row r="345" spans="1:9">
      <c r="A345" s="1230"/>
      <c r="B345" s="1137"/>
      <c r="C345" s="1236"/>
      <c r="D345" s="1230"/>
      <c r="E345" s="1073"/>
      <c r="F345" s="1110"/>
      <c r="G345" s="1028"/>
      <c r="H345" s="1028"/>
      <c r="I345" s="1028"/>
    </row>
    <row r="346" spans="1:9" ht="15">
      <c r="A346" s="1153"/>
      <c r="B346" s="1238" t="s">
        <v>827</v>
      </c>
      <c r="C346" s="1239"/>
      <c r="D346" s="1240"/>
      <c r="E346" s="1083"/>
      <c r="F346" s="1083">
        <f>SUM(F330:F344)</f>
        <v>0</v>
      </c>
      <c r="G346" s="1029"/>
      <c r="H346" s="1029"/>
      <c r="I346" s="1029"/>
    </row>
    <row r="347" spans="1:9" ht="15">
      <c r="A347" s="1167"/>
      <c r="B347" s="1231"/>
      <c r="C347" s="1241"/>
      <c r="D347" s="1242"/>
      <c r="E347" s="1077"/>
      <c r="F347" s="1077"/>
      <c r="G347" s="1029"/>
      <c r="H347" s="1029"/>
      <c r="I347" s="1029"/>
    </row>
    <row r="348" spans="1:9" ht="15">
      <c r="A348" s="1153"/>
      <c r="B348" s="1238" t="s">
        <v>828</v>
      </c>
      <c r="C348" s="1239"/>
      <c r="D348" s="1240"/>
      <c r="E348" s="1083"/>
      <c r="F348" s="1083">
        <f>F327+F346</f>
        <v>0</v>
      </c>
      <c r="G348" s="1029"/>
      <c r="H348" s="1029"/>
      <c r="I348" s="1029"/>
    </row>
    <row r="349" spans="1:9" ht="15">
      <c r="A349" s="1167"/>
      <c r="B349" s="1231"/>
      <c r="C349" s="1241"/>
      <c r="D349" s="1242"/>
      <c r="E349" s="1077"/>
      <c r="F349" s="1077"/>
      <c r="G349" s="1029"/>
      <c r="H349" s="1029"/>
      <c r="I349" s="1029"/>
    </row>
    <row r="350" spans="1:9" ht="15">
      <c r="A350" s="1243"/>
      <c r="B350" s="1244" t="s">
        <v>829</v>
      </c>
      <c r="C350" s="1245"/>
      <c r="D350" s="1245"/>
      <c r="E350" s="1111"/>
      <c r="F350" s="1099">
        <f>+F348</f>
        <v>0</v>
      </c>
      <c r="G350" s="1029"/>
      <c r="H350" s="1029"/>
      <c r="I350" s="1029"/>
    </row>
    <row r="351" spans="1:9">
      <c r="A351" s="1251"/>
      <c r="B351" s="1112"/>
      <c r="C351" s="1112"/>
      <c r="D351" s="1112"/>
      <c r="E351" s="1112"/>
      <c r="F351" s="1112"/>
      <c r="G351" s="1022"/>
      <c r="H351" s="1022"/>
      <c r="I351" s="1022"/>
    </row>
    <row r="352" spans="1:9">
      <c r="A352" s="1112"/>
      <c r="B352" s="1112"/>
      <c r="C352" s="1302"/>
      <c r="D352" s="1302"/>
      <c r="E352" s="1302"/>
      <c r="F352" s="1302"/>
      <c r="G352" s="1250"/>
      <c r="H352" s="1250"/>
      <c r="I352" s="1250"/>
    </row>
    <row r="353" spans="1:9">
      <c r="A353" s="1113"/>
      <c r="B353" s="1252"/>
      <c r="C353" s="1114"/>
      <c r="D353" s="1252"/>
      <c r="E353" s="1115"/>
      <c r="F353" s="1115"/>
      <c r="G353" s="1052"/>
      <c r="H353" s="1052"/>
      <c r="I353" s="1052"/>
    </row>
    <row r="354" spans="1:9">
      <c r="A354" s="1113"/>
      <c r="B354" s="1116"/>
      <c r="C354" s="1117" t="s">
        <v>55</v>
      </c>
      <c r="D354" s="1116"/>
      <c r="E354" s="1118"/>
      <c r="F354" s="1118"/>
      <c r="G354" s="1053"/>
      <c r="H354" s="1053"/>
      <c r="I354" s="1053"/>
    </row>
    <row r="355" spans="1:9" ht="14.1" customHeight="1">
      <c r="A355" s="1303"/>
      <c r="B355" s="1303"/>
      <c r="C355" s="1303"/>
      <c r="D355" s="1303"/>
      <c r="E355" s="1303"/>
      <c r="F355" s="1303"/>
      <c r="G355" s="1051"/>
      <c r="H355" s="1051"/>
      <c r="I355" s="1051"/>
    </row>
    <row r="356" spans="1:9">
      <c r="A356" s="1119"/>
      <c r="B356" s="1116"/>
      <c r="C356" s="1252"/>
      <c r="D356" s="1252"/>
      <c r="E356" s="1115"/>
      <c r="F356" s="1115"/>
      <c r="G356" s="1052"/>
      <c r="H356" s="1052"/>
      <c r="I356" s="1052"/>
    </row>
    <row r="357" spans="1:9">
      <c r="A357" s="1113"/>
      <c r="B357" s="1116"/>
      <c r="C357" s="1117"/>
      <c r="D357" s="1116"/>
      <c r="E357" s="1118"/>
      <c r="F357" s="1118"/>
      <c r="G357" s="1053"/>
      <c r="H357" s="1053"/>
      <c r="I357" s="1053"/>
    </row>
    <row r="358" spans="1:9">
      <c r="A358" s="1113"/>
      <c r="B358" s="1116"/>
      <c r="C358" s="1117"/>
      <c r="D358" s="1116"/>
      <c r="E358" s="1118"/>
      <c r="F358" s="1118"/>
      <c r="G358" s="1053"/>
      <c r="H358" s="1053"/>
      <c r="I358" s="1053"/>
    </row>
    <row r="359" spans="1:9">
      <c r="A359" s="1304"/>
      <c r="B359" s="1304"/>
      <c r="C359" s="1304"/>
      <c r="D359" s="1304"/>
      <c r="E359" s="1304"/>
      <c r="F359" s="1304"/>
      <c r="G359" s="1054"/>
      <c r="H359" s="1054"/>
      <c r="I359" s="1054"/>
    </row>
    <row r="360" spans="1:9">
      <c r="A360" s="1304"/>
      <c r="B360" s="1304"/>
      <c r="C360" s="1304"/>
      <c r="D360" s="1304"/>
      <c r="E360" s="1304"/>
      <c r="F360" s="1304"/>
      <c r="G360" s="1054"/>
      <c r="H360" s="1054"/>
      <c r="I360" s="1054"/>
    </row>
    <row r="361" spans="1:9">
      <c r="A361" s="1120"/>
      <c r="B361" s="1121"/>
      <c r="C361" s="1121"/>
      <c r="D361" s="1121"/>
      <c r="E361" s="1122"/>
      <c r="F361" s="1122"/>
      <c r="G361" s="1055"/>
      <c r="H361" s="1055"/>
      <c r="I361" s="1055"/>
    </row>
    <row r="363" spans="1:9" ht="15">
      <c r="A363" s="1056"/>
      <c r="B363" s="1299"/>
      <c r="C363" s="1299"/>
      <c r="D363" s="1299"/>
      <c r="E363" s="1299"/>
      <c r="F363" s="1299"/>
      <c r="G363" s="1249"/>
      <c r="H363" s="1249"/>
      <c r="I363" s="1249"/>
    </row>
    <row r="364" spans="1:9">
      <c r="A364" s="1057"/>
      <c r="B364" s="1057"/>
      <c r="C364" s="1057"/>
      <c r="D364" s="1057"/>
      <c r="E364" s="1058"/>
      <c r="F364" s="1057"/>
      <c r="G364" s="1057"/>
      <c r="H364" s="1057"/>
      <c r="I364" s="1057"/>
    </row>
    <row r="365" spans="1:9" ht="15">
      <c r="A365" s="1056"/>
      <c r="B365" s="1059"/>
      <c r="C365" s="1060"/>
      <c r="D365" s="1061"/>
      <c r="E365" s="1061"/>
      <c r="F365" s="1061"/>
      <c r="G365" s="1061"/>
      <c r="H365" s="1061"/>
      <c r="I365" s="1061"/>
    </row>
    <row r="366" spans="1:9" ht="15">
      <c r="A366" s="1062"/>
      <c r="B366" s="1024"/>
      <c r="C366" s="1060"/>
      <c r="D366" s="1061"/>
      <c r="E366" s="1061"/>
      <c r="F366" s="1061"/>
      <c r="G366" s="1061"/>
      <c r="H366" s="1061"/>
      <c r="I366" s="1061"/>
    </row>
    <row r="367" spans="1:9" ht="15">
      <c r="A367" s="1056"/>
      <c r="B367" s="1300"/>
      <c r="C367" s="1300"/>
      <c r="D367" s="1300"/>
      <c r="E367" s="1300"/>
      <c r="F367" s="1300"/>
      <c r="G367" s="1250"/>
      <c r="H367" s="1250"/>
      <c r="I367" s="1250"/>
    </row>
    <row r="368" spans="1:9" ht="15">
      <c r="A368" s="1063"/>
      <c r="B368" s="1024"/>
      <c r="C368" s="1064"/>
      <c r="D368" s="1065"/>
      <c r="E368" s="1065"/>
      <c r="F368" s="1065"/>
      <c r="G368" s="1065"/>
      <c r="H368" s="1065"/>
      <c r="I368" s="1065"/>
    </row>
    <row r="631" spans="233:239" ht="15">
      <c r="HY631" s="1056" t="s">
        <v>830</v>
      </c>
      <c r="HZ631" s="1066" t="s">
        <v>831</v>
      </c>
      <c r="IA631" s="1039" t="s">
        <v>832</v>
      </c>
      <c r="ID631" s="1056" t="s">
        <v>833</v>
      </c>
    </row>
    <row r="632" spans="233:239">
      <c r="HY632" s="1067" t="s">
        <v>834</v>
      </c>
      <c r="HZ632" s="1068" t="s">
        <v>656</v>
      </c>
      <c r="IA632" s="1069">
        <v>0.03</v>
      </c>
    </row>
    <row r="633" spans="233:239">
      <c r="HY633" s="1067" t="s">
        <v>835</v>
      </c>
      <c r="HZ633" s="1068" t="s">
        <v>836</v>
      </c>
      <c r="IA633" s="1069">
        <v>0.04</v>
      </c>
      <c r="IB633" s="1025" t="s">
        <v>837</v>
      </c>
      <c r="ID633" s="1067"/>
      <c r="IE633" s="1021" t="s">
        <v>838</v>
      </c>
    </row>
    <row r="634" spans="233:239">
      <c r="HY634" s="1067" t="s">
        <v>839</v>
      </c>
      <c r="HZ634" s="1068" t="s">
        <v>836</v>
      </c>
      <c r="IA634" s="1069">
        <v>0.03</v>
      </c>
      <c r="IB634" s="1025" t="s">
        <v>840</v>
      </c>
      <c r="ID634" s="1067"/>
      <c r="IE634" s="1021" t="s">
        <v>841</v>
      </c>
    </row>
    <row r="635" spans="233:239">
      <c r="HY635" s="1067" t="s">
        <v>842</v>
      </c>
      <c r="HZ635" s="1068" t="s">
        <v>654</v>
      </c>
      <c r="IA635" s="1069">
        <v>4.4999999999999998E-2</v>
      </c>
      <c r="IB635" s="1025" t="s">
        <v>843</v>
      </c>
      <c r="ID635" s="1067"/>
      <c r="IE635" s="1021" t="s">
        <v>838</v>
      </c>
    </row>
    <row r="636" spans="233:239">
      <c r="HY636" s="1067" t="s">
        <v>844</v>
      </c>
      <c r="HZ636" s="1068" t="s">
        <v>656</v>
      </c>
      <c r="IA636" s="1069">
        <v>1.4999999999999999E-2</v>
      </c>
      <c r="IB636" s="1025" t="s">
        <v>845</v>
      </c>
      <c r="ID636" s="1067"/>
      <c r="IE636" s="1021" t="s">
        <v>846</v>
      </c>
    </row>
    <row r="637" spans="233:239">
      <c r="HY637" s="1067" t="s">
        <v>847</v>
      </c>
      <c r="HZ637" s="1068" t="s">
        <v>679</v>
      </c>
      <c r="IA637" s="1069">
        <v>0.03</v>
      </c>
      <c r="IB637" s="1025" t="s">
        <v>848</v>
      </c>
      <c r="ID637" s="1067"/>
      <c r="IE637" s="1021" t="s">
        <v>846</v>
      </c>
    </row>
    <row r="638" spans="233:239">
      <c r="HY638" s="1067" t="s">
        <v>849</v>
      </c>
      <c r="HZ638" s="1068" t="s">
        <v>850</v>
      </c>
      <c r="IA638" s="1069">
        <v>0.04</v>
      </c>
      <c r="IB638" s="1025" t="s">
        <v>851</v>
      </c>
      <c r="ID638" s="1067"/>
      <c r="IE638" s="1021" t="s">
        <v>846</v>
      </c>
    </row>
    <row r="639" spans="233:239">
      <c r="HY639" s="1067" t="s">
        <v>852</v>
      </c>
      <c r="HZ639" s="1068" t="s">
        <v>656</v>
      </c>
      <c r="IA639" s="1069">
        <v>4.4999999999999998E-2</v>
      </c>
      <c r="IB639" s="1025" t="s">
        <v>853</v>
      </c>
      <c r="ID639" s="1067"/>
      <c r="IE639" s="1021" t="s">
        <v>846</v>
      </c>
    </row>
    <row r="640" spans="233:239">
      <c r="HY640" s="1067" t="s">
        <v>854</v>
      </c>
      <c r="HZ640" s="1068" t="s">
        <v>855</v>
      </c>
      <c r="IA640" s="1069">
        <v>0.04</v>
      </c>
      <c r="IB640" s="1025" t="s">
        <v>856</v>
      </c>
      <c r="ID640" s="1067"/>
      <c r="IE640" s="1021" t="s">
        <v>846</v>
      </c>
    </row>
    <row r="641" spans="233:239">
      <c r="HY641" s="1067" t="s">
        <v>857</v>
      </c>
      <c r="HZ641" s="1068" t="s">
        <v>858</v>
      </c>
      <c r="IB641" s="1025" t="s">
        <v>859</v>
      </c>
      <c r="ID641" s="1067"/>
      <c r="IE641" s="1021" t="s">
        <v>846</v>
      </c>
    </row>
    <row r="642" spans="233:239">
      <c r="HY642" s="1067" t="s">
        <v>860</v>
      </c>
      <c r="HZ642" s="1068" t="s">
        <v>850</v>
      </c>
      <c r="IA642" s="1069">
        <v>0.03</v>
      </c>
      <c r="IB642" s="1025" t="s">
        <v>861</v>
      </c>
      <c r="ID642" s="1067"/>
      <c r="IE642" s="1021" t="s">
        <v>846</v>
      </c>
    </row>
    <row r="643" spans="233:239">
      <c r="HY643" s="1067" t="s">
        <v>862</v>
      </c>
      <c r="HZ643" s="1068" t="s">
        <v>679</v>
      </c>
      <c r="IA643" s="1069">
        <v>0.03</v>
      </c>
      <c r="IB643" s="1025" t="s">
        <v>863</v>
      </c>
      <c r="ID643" s="1067"/>
      <c r="IE643" s="1021" t="s">
        <v>846</v>
      </c>
    </row>
    <row r="644" spans="233:239">
      <c r="HY644" s="1067" t="s">
        <v>864</v>
      </c>
      <c r="HZ644" s="1068" t="s">
        <v>836</v>
      </c>
      <c r="IA644" s="1069">
        <v>4.4999999999999998E-2</v>
      </c>
      <c r="IB644" s="1025" t="s">
        <v>865</v>
      </c>
      <c r="ID644" s="1067"/>
      <c r="IE644" s="1021" t="s">
        <v>841</v>
      </c>
    </row>
    <row r="645" spans="233:239">
      <c r="HY645" s="1067" t="s">
        <v>866</v>
      </c>
      <c r="HZ645" s="1068" t="s">
        <v>850</v>
      </c>
      <c r="IA645" s="1069">
        <v>0.04</v>
      </c>
      <c r="IB645" s="1025" t="s">
        <v>867</v>
      </c>
      <c r="ID645" s="1067"/>
      <c r="IE645" s="1021" t="s">
        <v>846</v>
      </c>
    </row>
    <row r="646" spans="233:239">
      <c r="HY646" s="1067" t="s">
        <v>868</v>
      </c>
      <c r="HZ646" s="1068" t="s">
        <v>850</v>
      </c>
      <c r="IA646" s="1069">
        <v>0.03</v>
      </c>
      <c r="IB646" s="1025" t="s">
        <v>869</v>
      </c>
      <c r="ID646" s="1067"/>
      <c r="IE646" s="1021" t="s">
        <v>846</v>
      </c>
    </row>
    <row r="647" spans="233:239">
      <c r="HY647" s="1067" t="s">
        <v>870</v>
      </c>
      <c r="HZ647" s="1068" t="s">
        <v>855</v>
      </c>
      <c r="IA647" s="1069">
        <v>0.03</v>
      </c>
      <c r="IB647" s="1025" t="s">
        <v>871</v>
      </c>
      <c r="ID647" s="1067"/>
      <c r="IE647" s="1021" t="s">
        <v>846</v>
      </c>
    </row>
    <row r="648" spans="233:239">
      <c r="HY648" s="1067" t="s">
        <v>872</v>
      </c>
      <c r="HZ648" s="1068" t="s">
        <v>679</v>
      </c>
      <c r="IA648" s="1069">
        <v>0.04</v>
      </c>
      <c r="IB648" s="1025" t="s">
        <v>873</v>
      </c>
      <c r="ID648" s="1067"/>
      <c r="IE648" s="1021" t="s">
        <v>846</v>
      </c>
    </row>
    <row r="649" spans="233:239">
      <c r="HY649" s="1067" t="s">
        <v>874</v>
      </c>
      <c r="HZ649" s="1068" t="s">
        <v>855</v>
      </c>
      <c r="IA649" s="1069">
        <v>0.03</v>
      </c>
      <c r="IB649" s="1025" t="s">
        <v>875</v>
      </c>
      <c r="ID649" s="1067"/>
      <c r="IE649" s="1021" t="s">
        <v>876</v>
      </c>
    </row>
    <row r="650" spans="233:239">
      <c r="HY650" s="1067" t="s">
        <v>877</v>
      </c>
      <c r="HZ650" s="1068" t="s">
        <v>654</v>
      </c>
      <c r="IA650" s="1069">
        <v>4.4999999999999998E-2</v>
      </c>
    </row>
    <row r="651" spans="233:239">
      <c r="HY651" s="1067" t="s">
        <v>878</v>
      </c>
      <c r="HZ651" s="1068" t="s">
        <v>9</v>
      </c>
      <c r="IA651" s="1069">
        <v>0.03</v>
      </c>
    </row>
    <row r="652" spans="233:239">
      <c r="HY652" s="1067" t="s">
        <v>879</v>
      </c>
      <c r="HZ652" s="1068" t="s">
        <v>836</v>
      </c>
      <c r="IA652" s="1069">
        <v>4.4999999999999998E-2</v>
      </c>
    </row>
    <row r="653" spans="233:239">
      <c r="HY653" s="1067" t="s">
        <v>880</v>
      </c>
      <c r="HZ653" s="1068" t="s">
        <v>9</v>
      </c>
      <c r="IA653" s="1069">
        <v>0.03</v>
      </c>
    </row>
    <row r="654" spans="233:239">
      <c r="HY654" s="1067" t="s">
        <v>881</v>
      </c>
      <c r="HZ654" s="1068" t="s">
        <v>882</v>
      </c>
      <c r="IA654" s="1069">
        <v>0.04</v>
      </c>
    </row>
    <row r="655" spans="233:239">
      <c r="HY655" s="1067" t="s">
        <v>883</v>
      </c>
      <c r="HZ655" s="1068" t="s">
        <v>679</v>
      </c>
      <c r="IA655" s="1069">
        <v>0.04</v>
      </c>
      <c r="IC655" s="1021" t="s">
        <v>884</v>
      </c>
    </row>
    <row r="656" spans="233:239">
      <c r="HY656" s="1067" t="s">
        <v>885</v>
      </c>
      <c r="HZ656" s="1068" t="s">
        <v>9</v>
      </c>
      <c r="IA656" s="1069">
        <v>0.02</v>
      </c>
      <c r="IC656" s="1021" t="s">
        <v>886</v>
      </c>
    </row>
    <row r="657" spans="233:237">
      <c r="HY657" s="1067" t="s">
        <v>887</v>
      </c>
      <c r="HZ657" s="1068" t="s">
        <v>9</v>
      </c>
      <c r="IA657" s="1069">
        <v>0.03</v>
      </c>
      <c r="IC657" s="1021" t="s">
        <v>888</v>
      </c>
    </row>
    <row r="658" spans="233:237">
      <c r="HY658" s="1067" t="s">
        <v>889</v>
      </c>
      <c r="HZ658" s="1068" t="s">
        <v>656</v>
      </c>
      <c r="IA658" s="1069">
        <v>0.04</v>
      </c>
    </row>
    <row r="659" spans="233:237">
      <c r="HY659" s="1067" t="s">
        <v>890</v>
      </c>
      <c r="HZ659" s="1068" t="s">
        <v>850</v>
      </c>
      <c r="IA659" s="1069">
        <v>2.5000000000000001E-2</v>
      </c>
    </row>
    <row r="660" spans="233:237">
      <c r="HY660" s="1067" t="s">
        <v>891</v>
      </c>
      <c r="HZ660" s="1068" t="s">
        <v>679</v>
      </c>
      <c r="IA660" s="1069">
        <v>0.03</v>
      </c>
    </row>
    <row r="661" spans="233:237">
      <c r="HY661" s="1067" t="s">
        <v>892</v>
      </c>
      <c r="HZ661" s="1068" t="s">
        <v>855</v>
      </c>
      <c r="IA661" s="1069">
        <v>0.03</v>
      </c>
    </row>
    <row r="662" spans="233:237">
      <c r="HY662" s="1067" t="s">
        <v>893</v>
      </c>
      <c r="HZ662" s="1068" t="s">
        <v>654</v>
      </c>
      <c r="IA662" s="1069">
        <v>0.04</v>
      </c>
    </row>
    <row r="663" spans="233:237">
      <c r="HY663" s="1067" t="s">
        <v>894</v>
      </c>
      <c r="HZ663" s="1068" t="s">
        <v>656</v>
      </c>
      <c r="IA663" s="1069">
        <v>1.4999999999999999E-2</v>
      </c>
    </row>
    <row r="664" spans="233:237">
      <c r="HY664" s="1067" t="s">
        <v>895</v>
      </c>
      <c r="HZ664" s="1068" t="s">
        <v>654</v>
      </c>
      <c r="IA664" s="1069">
        <v>0.04</v>
      </c>
    </row>
  </sheetData>
  <sheetProtection password="8A46" sheet="1"/>
  <mergeCells count="13">
    <mergeCell ref="A1:F1"/>
    <mergeCell ref="A2:F2"/>
    <mergeCell ref="A3:F3"/>
    <mergeCell ref="A4:F4"/>
    <mergeCell ref="A6:F6"/>
    <mergeCell ref="A7:F7"/>
    <mergeCell ref="B363:F363"/>
    <mergeCell ref="B367:F367"/>
    <mergeCell ref="A9:F9"/>
    <mergeCell ref="C352:F352"/>
    <mergeCell ref="A355:F355"/>
    <mergeCell ref="A359:F359"/>
    <mergeCell ref="A360:F360"/>
  </mergeCells>
  <dataValidations disablePrompts="1" count="1">
    <dataValidation type="list" allowBlank="1" showInputMessage="1" showErrorMessage="1" sqref="B8" xr:uid="{00000000-0002-0000-0100-000000000000}">
      <formula1>$HY$632:$HY$663</formula1>
    </dataValidation>
  </dataValidations>
  <printOptions horizontalCentered="1"/>
  <pageMargins left="7.874015748031496E-2" right="7.874015748031496E-2" top="0.19685039370078741" bottom="0" header="0" footer="0"/>
  <pageSetup paperSize="7" scale="75" orientation="portrait" r:id="rId1"/>
  <headerFooter alignWithMargins="0">
    <oddFooter>&amp;C&amp;P de &amp;N</oddFooter>
  </headerFooter>
  <rowBreaks count="8" manualBreakCount="8">
    <brk id="50" max="5" man="1"/>
    <brk id="96" max="5" man="1"/>
    <brk id="138" max="5" man="1"/>
    <brk id="178" max="5" man="1"/>
    <brk id="217" max="5" man="1"/>
    <brk id="250" max="5" man="1"/>
    <brk id="292" max="5" man="1"/>
    <brk id="3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ANALISIS PARA CASETA CLORO</vt:lpstr>
      <vt:lpstr>AC.CAÑADA CIMARRONA</vt:lpstr>
      <vt:lpstr>'AC.CAÑADA CIMARRONA'!Área_de_impresión</vt:lpstr>
      <vt:lpstr>'ANALISIS PARA CASETA CLORO'!Área_de_impresión</vt:lpstr>
      <vt:lpstr>'AC.CAÑADA CIMARRONA'!Títulos_a_imprimir</vt:lpstr>
      <vt:lpstr>'ANALISIS PARA CASETA CLORO'!Títulos_a_imprimir</vt:lpstr>
    </vt:vector>
  </TitlesOfParts>
  <Manager/>
  <Company>UEAR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JOSE-PRESUPUESTO</dc:creator>
  <cp:keywords/>
  <dc:description/>
  <cp:lastModifiedBy>Sasha María Aquino</cp:lastModifiedBy>
  <cp:revision/>
  <dcterms:created xsi:type="dcterms:W3CDTF">2006-09-01T15:53:30Z</dcterms:created>
  <dcterms:modified xsi:type="dcterms:W3CDTF">2021-07-09T18:16:31Z</dcterms:modified>
  <cp:category/>
  <cp:contentStatus/>
</cp:coreProperties>
</file>