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a05d136626a7ddd/PRESUPUESTOS FERNANDEZ/TERMINADOS/EQUILIBRIO ECONOMICO INAPA/"/>
    </mc:Choice>
  </mc:AlternateContent>
  <xr:revisionPtr revIDLastSave="78" documentId="13_ncr:1_{D8BA68C9-AB55-4B51-AA99-741E9047C49E}" xr6:coauthVersionLast="47" xr6:coauthVersionMax="47" xr10:uidLastSave="{47754910-6398-4A2E-97F9-0F3E1BD46DA2}"/>
  <bookViews>
    <workbookView xWindow="-108" yWindow="-108" windowWidth="23256" windowHeight="12456" firstSheet="1" activeTab="2" xr2:uid="{4E5EBD27-53AC-44AD-95AE-6F0D9ADB85FD}"/>
  </bookViews>
  <sheets>
    <sheet name="Presupuesto Base 1" sheetId="3" r:id="rId1"/>
    <sheet name="Analisis presupuesto base" sheetId="8" r:id="rId2"/>
    <sheet name="Presupuesto Equilibrio Economc" sheetId="10" r:id="rId3"/>
    <sheet name="Presupuesto actualizado" sheetId="5" r:id="rId4"/>
    <sheet name="Presupuesto Actual compl" sheetId="7" r:id="rId5"/>
    <sheet name="Analisis de costos actualizados" sheetId="9" r:id="rId6"/>
    <sheet name="Hoja1" sheetId="12" state="hidden" r:id="rId7"/>
    <sheet name="Lista de Materiales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T416">[1]MATERIALES!$C$59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">'Lista de Materiales'!$K$6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'Lista de Materiales'!$K$14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'Lista de Materiales'!$K$13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'Lista de Materiales'!$K$10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_1era">'Lista de Materiales'!$K$9</definedName>
    <definedName name="op_2da">'Lista de Materiales'!$K$8</definedName>
    <definedName name="Op_3era">'Lista de Materiales'!$K$7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">'Lista de Materiales'!$K$4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'Lista de Materiales'!$K$5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4" i="5" l="1"/>
  <c r="F315" i="5"/>
  <c r="F314" i="5"/>
  <c r="F311" i="5"/>
  <c r="F310" i="5"/>
  <c r="F208" i="5"/>
  <c r="F209" i="5"/>
  <c r="F210" i="5"/>
  <c r="F214" i="5"/>
  <c r="F215" i="5"/>
  <c r="F216" i="5"/>
  <c r="F217" i="5"/>
  <c r="F218" i="5"/>
  <c r="F220" i="5"/>
  <c r="F224" i="5"/>
  <c r="F225" i="5"/>
  <c r="F226" i="5"/>
  <c r="F227" i="5"/>
  <c r="F230" i="5"/>
  <c r="F231" i="5"/>
  <c r="F232" i="5"/>
  <c r="F233" i="5"/>
  <c r="F236" i="5"/>
  <c r="F237" i="5"/>
  <c r="F238" i="5"/>
  <c r="F239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4" i="5"/>
  <c r="F275" i="5"/>
  <c r="F276" i="5"/>
  <c r="F277" i="5"/>
  <c r="F280" i="5"/>
  <c r="F281" i="5"/>
  <c r="F284" i="5"/>
  <c r="F285" i="5"/>
  <c r="F286" i="5"/>
  <c r="F287" i="5"/>
  <c r="F288" i="5"/>
  <c r="F289" i="5"/>
  <c r="F292" i="5"/>
  <c r="F295" i="5"/>
  <c r="F296" i="5"/>
  <c r="F299" i="5"/>
  <c r="F300" i="5"/>
  <c r="F301" i="5"/>
  <c r="F303" i="5"/>
  <c r="F205" i="5"/>
  <c r="F176" i="5"/>
  <c r="F177" i="5"/>
  <c r="F180" i="5"/>
  <c r="F183" i="5"/>
  <c r="F184" i="5"/>
  <c r="F187" i="5"/>
  <c r="F188" i="5"/>
  <c r="F191" i="5"/>
  <c r="F192" i="5"/>
  <c r="F193" i="5"/>
  <c r="F194" i="5"/>
  <c r="F196" i="5"/>
  <c r="F198" i="5"/>
  <c r="F200" i="5"/>
  <c r="F175" i="5"/>
  <c r="E48" i="7"/>
  <c r="F48" i="7"/>
  <c r="I47" i="3" s="1"/>
  <c r="H47" i="3"/>
  <c r="F47" i="5"/>
  <c r="F47" i="3"/>
  <c r="E47" i="3"/>
  <c r="H20" i="7"/>
  <c r="G15" i="7"/>
  <c r="E15" i="7"/>
  <c r="F316" i="5" l="1"/>
  <c r="H18" i="7"/>
  <c r="H19" i="7"/>
  <c r="H21" i="7"/>
  <c r="H22" i="7"/>
  <c r="H25" i="7"/>
  <c r="H26" i="7"/>
  <c r="H35" i="7"/>
  <c r="H37" i="7"/>
  <c r="H39" i="7"/>
  <c r="H42" i="7"/>
  <c r="H43" i="7"/>
  <c r="H44" i="7"/>
  <c r="H46" i="7"/>
  <c r="H47" i="7"/>
  <c r="H51" i="7"/>
  <c r="H52" i="7"/>
  <c r="H53" i="7"/>
  <c r="H59" i="7"/>
  <c r="H61" i="7"/>
  <c r="H62" i="7"/>
  <c r="H63" i="7"/>
  <c r="H68" i="7"/>
  <c r="H69" i="7"/>
  <c r="H74" i="7"/>
  <c r="H75" i="7"/>
  <c r="H80" i="7"/>
  <c r="H81" i="7"/>
  <c r="H82" i="7"/>
  <c r="H97" i="7"/>
  <c r="H98" i="7"/>
  <c r="H112" i="7"/>
  <c r="H113" i="7"/>
  <c r="H118" i="7"/>
  <c r="H119" i="7"/>
  <c r="H122" i="7"/>
  <c r="H123" i="7"/>
  <c r="H130" i="7"/>
  <c r="H131" i="7"/>
  <c r="H133" i="7"/>
  <c r="H134" i="7"/>
  <c r="H137" i="7"/>
  <c r="H138" i="7"/>
  <c r="H145" i="7"/>
  <c r="H146" i="7"/>
  <c r="H147" i="7"/>
  <c r="H148" i="7"/>
  <c r="H149" i="7"/>
  <c r="H152" i="7"/>
  <c r="H153" i="7"/>
  <c r="H157" i="7"/>
  <c r="H158" i="7"/>
  <c r="H162" i="7"/>
  <c r="F9" i="12"/>
  <c r="F8" i="12"/>
  <c r="F7" i="12"/>
  <c r="E176" i="9"/>
  <c r="E177" i="9"/>
  <c r="E168" i="9"/>
  <c r="E136" i="9"/>
  <c r="E135" i="9"/>
  <c r="E121" i="9"/>
  <c r="F18" i="3" l="1"/>
  <c r="E148" i="9"/>
  <c r="E147" i="9"/>
  <c r="E29" i="9"/>
  <c r="D29" i="9"/>
  <c r="E124" i="9"/>
  <c r="E123" i="9"/>
  <c r="E111" i="9"/>
  <c r="K14" i="11"/>
  <c r="K13" i="11"/>
  <c r="E112" i="9"/>
  <c r="E18" i="5"/>
  <c r="E21" i="5"/>
  <c r="E22" i="5"/>
  <c r="E25" i="5"/>
  <c r="E26" i="5"/>
  <c r="E188" i="5" s="1"/>
  <c r="E27" i="5"/>
  <c r="E189" i="5" s="1"/>
  <c r="E28" i="5"/>
  <c r="E190" i="5" s="1"/>
  <c r="E29" i="5"/>
  <c r="E191" i="5" s="1"/>
  <c r="E30" i="5"/>
  <c r="E31" i="5"/>
  <c r="E193" i="5" s="1"/>
  <c r="E32" i="5"/>
  <c r="E194" i="5" s="1"/>
  <c r="E34" i="5"/>
  <c r="E196" i="5" s="1"/>
  <c r="E36" i="5"/>
  <c r="E198" i="5" s="1"/>
  <c r="E38" i="5"/>
  <c r="E200" i="5" s="1"/>
  <c r="E14" i="5"/>
  <c r="E176" i="5" s="1"/>
  <c r="E15" i="5"/>
  <c r="E177" i="5" s="1"/>
  <c r="E13" i="5"/>
  <c r="E303" i="5"/>
  <c r="E310" i="5"/>
  <c r="E311" i="5"/>
  <c r="E275" i="5"/>
  <c r="E276" i="5"/>
  <c r="E277" i="5"/>
  <c r="E280" i="5"/>
  <c r="E281" i="5"/>
  <c r="E288" i="5"/>
  <c r="E289" i="5"/>
  <c r="E292" i="5"/>
  <c r="E295" i="5"/>
  <c r="E296" i="5"/>
  <c r="E268" i="5"/>
  <c r="E269" i="5"/>
  <c r="E270" i="5"/>
  <c r="E271" i="5"/>
  <c r="E187" i="5"/>
  <c r="E192" i="5"/>
  <c r="G16" i="7"/>
  <c r="G17" i="7"/>
  <c r="G18" i="7"/>
  <c r="G19" i="7"/>
  <c r="G21" i="7"/>
  <c r="G22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2" i="7"/>
  <c r="G43" i="7"/>
  <c r="G44" i="7"/>
  <c r="G46" i="7"/>
  <c r="G47" i="7"/>
  <c r="G51" i="7"/>
  <c r="G52" i="7"/>
  <c r="G53" i="7"/>
  <c r="G61" i="7"/>
  <c r="G62" i="7"/>
  <c r="G63" i="7"/>
  <c r="G68" i="7"/>
  <c r="G69" i="7"/>
  <c r="G74" i="7"/>
  <c r="G75" i="7"/>
  <c r="G80" i="7"/>
  <c r="G81" i="7"/>
  <c r="G82" i="7"/>
  <c r="G97" i="7"/>
  <c r="G98" i="7"/>
  <c r="G112" i="7"/>
  <c r="G113" i="7"/>
  <c r="G118" i="7"/>
  <c r="G119" i="7"/>
  <c r="G122" i="7"/>
  <c r="G123" i="7"/>
  <c r="G130" i="7"/>
  <c r="G131" i="7"/>
  <c r="G133" i="7"/>
  <c r="G134" i="7"/>
  <c r="G137" i="7"/>
  <c r="G138" i="7"/>
  <c r="G145" i="7"/>
  <c r="G146" i="7"/>
  <c r="G147" i="7"/>
  <c r="G148" i="7"/>
  <c r="G149" i="7"/>
  <c r="G152" i="7"/>
  <c r="G153" i="7"/>
  <c r="G157" i="7"/>
  <c r="G158" i="7"/>
  <c r="G162" i="7"/>
  <c r="G165" i="7"/>
  <c r="G166" i="7"/>
  <c r="G180" i="7"/>
  <c r="G342" i="9"/>
  <c r="E279" i="9"/>
  <c r="E278" i="9"/>
  <c r="E263" i="9"/>
  <c r="E262" i="9"/>
  <c r="E212" i="9"/>
  <c r="E204" i="9"/>
  <c r="E125" i="9"/>
  <c r="E113" i="9"/>
  <c r="E96" i="9"/>
  <c r="E89" i="9"/>
  <c r="E88" i="9"/>
  <c r="E74" i="9"/>
  <c r="E73" i="9"/>
  <c r="E57" i="9"/>
  <c r="E58" i="9"/>
  <c r="E8" i="9"/>
  <c r="H263" i="9" l="1"/>
  <c r="H262" i="9"/>
  <c r="F239" i="9"/>
  <c r="E143" i="7"/>
  <c r="G333" i="9"/>
  <c r="G313" i="9"/>
  <c r="G305" i="9"/>
  <c r="G312" i="9"/>
  <c r="G311" i="9"/>
  <c r="G316" i="9" s="1"/>
  <c r="G315" i="9"/>
  <c r="E221" i="9"/>
  <c r="F168" i="9"/>
  <c r="H148" i="9"/>
  <c r="E40" i="7"/>
  <c r="F14" i="11"/>
  <c r="F15" i="11"/>
  <c r="F16" i="11"/>
  <c r="F17" i="11"/>
  <c r="F18" i="11"/>
  <c r="F19" i="11"/>
  <c r="F20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8" i="11"/>
  <c r="F52" i="11"/>
  <c r="F53" i="11"/>
  <c r="F54" i="11"/>
  <c r="F67" i="11"/>
  <c r="F63" i="11"/>
  <c r="F51" i="11"/>
  <c r="F47" i="11"/>
  <c r="F44" i="11"/>
  <c r="F29" i="11"/>
  <c r="F24" i="11"/>
  <c r="F23" i="11"/>
  <c r="F13" i="11"/>
  <c r="F6" i="11"/>
  <c r="F7" i="11"/>
  <c r="F8" i="11"/>
  <c r="F5" i="11"/>
  <c r="E58" i="11"/>
  <c r="F58" i="11" s="1"/>
  <c r="E59" i="11"/>
  <c r="F59" i="11" s="1"/>
  <c r="E57" i="11"/>
  <c r="F57" i="11" s="1"/>
  <c r="E52" i="11"/>
  <c r="E53" i="11"/>
  <c r="E54" i="11"/>
  <c r="E51" i="11"/>
  <c r="D20" i="11"/>
  <c r="E20" i="11" s="1"/>
  <c r="D19" i="11"/>
  <c r="E19" i="11"/>
  <c r="D18" i="11"/>
  <c r="E18" i="11" s="1"/>
  <c r="D17" i="11"/>
  <c r="E17" i="11" s="1"/>
  <c r="E16" i="11"/>
  <c r="E15" i="11"/>
  <c r="E5" i="11"/>
  <c r="E320" i="10"/>
  <c r="F320" i="10" s="1"/>
  <c r="G160" i="7" s="1"/>
  <c r="E319" i="10"/>
  <c r="F319" i="10" s="1"/>
  <c r="G159" i="7" s="1"/>
  <c r="E311" i="10"/>
  <c r="F311" i="10" s="1"/>
  <c r="G151" i="7" s="1"/>
  <c r="E310" i="10"/>
  <c r="F310" i="10" s="1"/>
  <c r="G150" i="7" s="1"/>
  <c r="E303" i="10"/>
  <c r="F303" i="10" s="1"/>
  <c r="E302" i="10"/>
  <c r="F302" i="10" s="1"/>
  <c r="G142" i="7" s="1"/>
  <c r="E296" i="10"/>
  <c r="F296" i="10" s="1"/>
  <c r="G136" i="7" s="1"/>
  <c r="E295" i="10"/>
  <c r="F295" i="10" s="1"/>
  <c r="G135" i="7" s="1"/>
  <c r="E292" i="10"/>
  <c r="F292" i="10" s="1"/>
  <c r="G132" i="7" s="1"/>
  <c r="E289" i="10"/>
  <c r="F289" i="10" s="1"/>
  <c r="E288" i="10"/>
  <c r="F288" i="10" s="1"/>
  <c r="E281" i="10"/>
  <c r="F281" i="10" s="1"/>
  <c r="G121" i="7" s="1"/>
  <c r="E280" i="10"/>
  <c r="F280" i="10" s="1"/>
  <c r="E277" i="10"/>
  <c r="F277" i="10" s="1"/>
  <c r="E276" i="10"/>
  <c r="F276" i="10" s="1"/>
  <c r="E275" i="10"/>
  <c r="F275" i="10" s="1"/>
  <c r="E274" i="10"/>
  <c r="F274" i="10" s="1"/>
  <c r="E271" i="10"/>
  <c r="F271" i="10" s="1"/>
  <c r="G111" i="7" s="1"/>
  <c r="E270" i="10"/>
  <c r="F270" i="10" s="1"/>
  <c r="G110" i="7" s="1"/>
  <c r="E269" i="10"/>
  <c r="F269" i="10" s="1"/>
  <c r="G109" i="7" s="1"/>
  <c r="E268" i="10"/>
  <c r="F268" i="10" s="1"/>
  <c r="G108" i="7" s="1"/>
  <c r="E198" i="10"/>
  <c r="E196" i="10"/>
  <c r="E194" i="10"/>
  <c r="E193" i="10"/>
  <c r="E192" i="10"/>
  <c r="E191" i="10"/>
  <c r="E190" i="10"/>
  <c r="E189" i="10"/>
  <c r="E188" i="10"/>
  <c r="E187" i="10"/>
  <c r="E177" i="10"/>
  <c r="E176" i="10"/>
  <c r="F158" i="10"/>
  <c r="F157" i="10"/>
  <c r="E153" i="10"/>
  <c r="E152" i="10"/>
  <c r="F149" i="10"/>
  <c r="F148" i="10"/>
  <c r="E139" i="10"/>
  <c r="F139" i="10" s="1"/>
  <c r="E138" i="10"/>
  <c r="E137" i="10"/>
  <c r="F134" i="10"/>
  <c r="F133" i="10"/>
  <c r="F130" i="10"/>
  <c r="F127" i="10"/>
  <c r="F126" i="10"/>
  <c r="F125" i="10"/>
  <c r="F124" i="10"/>
  <c r="F123" i="10"/>
  <c r="F122" i="10"/>
  <c r="F119" i="10"/>
  <c r="F118" i="10"/>
  <c r="F115" i="10"/>
  <c r="F114" i="10"/>
  <c r="F113" i="10"/>
  <c r="F112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77" i="10"/>
  <c r="F76" i="10"/>
  <c r="F75" i="10"/>
  <c r="F74" i="10"/>
  <c r="F71" i="10"/>
  <c r="F70" i="10"/>
  <c r="F69" i="10"/>
  <c r="F68" i="10"/>
  <c r="F65" i="10"/>
  <c r="F64" i="10"/>
  <c r="E62" i="10"/>
  <c r="E58" i="10"/>
  <c r="E57" i="10"/>
  <c r="E56" i="10"/>
  <c r="F55" i="10"/>
  <c r="F54" i="10"/>
  <c r="E53" i="10"/>
  <c r="E52" i="10"/>
  <c r="E48" i="10"/>
  <c r="E47" i="10"/>
  <c r="E43" i="10"/>
  <c r="F38" i="10"/>
  <c r="F36" i="10"/>
  <c r="F34" i="10"/>
  <c r="F32" i="10"/>
  <c r="F31" i="10"/>
  <c r="F30" i="10"/>
  <c r="F29" i="10"/>
  <c r="F28" i="10"/>
  <c r="F27" i="10"/>
  <c r="F26" i="10"/>
  <c r="F25" i="10"/>
  <c r="F22" i="10"/>
  <c r="F21" i="10"/>
  <c r="E18" i="10"/>
  <c r="F15" i="10"/>
  <c r="F14" i="10"/>
  <c r="F13" i="10"/>
  <c r="E153" i="5"/>
  <c r="E152" i="5"/>
  <c r="F30" i="7"/>
  <c r="E139" i="5"/>
  <c r="E138" i="5"/>
  <c r="E137" i="5"/>
  <c r="E62" i="5"/>
  <c r="E56" i="5"/>
  <c r="E58" i="5"/>
  <c r="E57" i="5"/>
  <c r="E53" i="5"/>
  <c r="E52" i="5"/>
  <c r="E48" i="5"/>
  <c r="E47" i="5"/>
  <c r="E43" i="5"/>
  <c r="E152" i="3"/>
  <c r="E153" i="3"/>
  <c r="F152" i="3"/>
  <c r="E320" i="5"/>
  <c r="E319" i="5"/>
  <c r="H142" i="7"/>
  <c r="H143" i="7"/>
  <c r="E274" i="5"/>
  <c r="F136" i="7"/>
  <c r="F143" i="7"/>
  <c r="G143" i="7" s="1"/>
  <c r="E141" i="7"/>
  <c r="E77" i="7"/>
  <c r="E237" i="5" s="1"/>
  <c r="E78" i="7"/>
  <c r="E79" i="7"/>
  <c r="E76" i="7"/>
  <c r="E72" i="7"/>
  <c r="E71" i="7"/>
  <c r="E70" i="7"/>
  <c r="E73" i="7"/>
  <c r="E239" i="10" l="1"/>
  <c r="F239" i="10" s="1"/>
  <c r="E239" i="5"/>
  <c r="E238" i="10"/>
  <c r="F238" i="10" s="1"/>
  <c r="E238" i="5"/>
  <c r="F141" i="7"/>
  <c r="E301" i="5"/>
  <c r="E233" i="10"/>
  <c r="E233" i="5"/>
  <c r="E230" i="10"/>
  <c r="E230" i="5"/>
  <c r="E231" i="10"/>
  <c r="E231" i="5"/>
  <c r="E232" i="10"/>
  <c r="E232" i="5"/>
  <c r="E236" i="10"/>
  <c r="F236" i="10" s="1"/>
  <c r="E236" i="5"/>
  <c r="E237" i="10"/>
  <c r="F237" i="10" s="1"/>
  <c r="E200" i="10"/>
  <c r="F200" i="10" s="1"/>
  <c r="G40" i="7" s="1"/>
  <c r="F18" i="10"/>
  <c r="F39" i="10" s="1"/>
  <c r="F152" i="10"/>
  <c r="F159" i="10"/>
  <c r="F321" i="10"/>
  <c r="G161" i="7" s="1"/>
  <c r="F142" i="10"/>
  <c r="F153" i="10"/>
  <c r="E301" i="10"/>
  <c r="F301" i="10" s="1"/>
  <c r="G141" i="7" s="1"/>
  <c r="E56" i="7"/>
  <c r="E216" i="5" s="1"/>
  <c r="E38" i="7"/>
  <c r="E36" i="7"/>
  <c r="E16" i="7"/>
  <c r="E17" i="7"/>
  <c r="E216" i="10" l="1"/>
  <c r="F154" i="10"/>
  <c r="F161" i="10"/>
  <c r="F162" i="10" s="1"/>
  <c r="G390" i="9"/>
  <c r="F390" i="9"/>
  <c r="B389" i="9"/>
  <c r="B384" i="9" s="1"/>
  <c r="B387" i="9"/>
  <c r="G387" i="9" s="1"/>
  <c r="G386" i="9"/>
  <c r="F386" i="9"/>
  <c r="G385" i="9"/>
  <c r="F385" i="9"/>
  <c r="G375" i="9"/>
  <c r="F375" i="9"/>
  <c r="B374" i="9"/>
  <c r="G374" i="9" s="1"/>
  <c r="B372" i="9"/>
  <c r="F372" i="9" s="1"/>
  <c r="G360" i="9"/>
  <c r="H354" i="9"/>
  <c r="G346" i="9"/>
  <c r="G335" i="9"/>
  <c r="G328" i="9"/>
  <c r="G331" i="9" s="1"/>
  <c r="G324" i="9"/>
  <c r="G326" i="9" s="1"/>
  <c r="G318" i="9"/>
  <c r="G320" i="9" s="1"/>
  <c r="G322" i="9" s="1"/>
  <c r="G307" i="9"/>
  <c r="G309" i="9" s="1"/>
  <c r="G296" i="9"/>
  <c r="H296" i="9" s="1"/>
  <c r="H297" i="9" s="1"/>
  <c r="H298" i="9" s="1"/>
  <c r="E127" i="7" s="1"/>
  <c r="E287" i="5" s="1"/>
  <c r="G292" i="9"/>
  <c r="H292" i="9" s="1"/>
  <c r="H293" i="9" s="1"/>
  <c r="H294" i="9" s="1"/>
  <c r="E126" i="7" s="1"/>
  <c r="E286" i="5" s="1"/>
  <c r="G287" i="9"/>
  <c r="H287" i="9" s="1"/>
  <c r="H288" i="9" s="1"/>
  <c r="H289" i="9" s="1"/>
  <c r="E124" i="7" s="1"/>
  <c r="G283" i="9"/>
  <c r="H283" i="9" s="1"/>
  <c r="H284" i="9" s="1"/>
  <c r="H285" i="9" s="1"/>
  <c r="E125" i="7" s="1"/>
  <c r="H279" i="9"/>
  <c r="H278" i="9"/>
  <c r="F271" i="9"/>
  <c r="G271" i="9" s="1"/>
  <c r="H271" i="9" s="1"/>
  <c r="A258" i="9"/>
  <c r="A259" i="9" s="1"/>
  <c r="A260" i="9" s="1"/>
  <c r="A261" i="9" s="1"/>
  <c r="A263" i="9" s="1"/>
  <c r="G240" i="9"/>
  <c r="H240" i="9" s="1"/>
  <c r="G239" i="9"/>
  <c r="H239" i="9" s="1"/>
  <c r="G231" i="9"/>
  <c r="H231" i="9" s="1"/>
  <c r="G230" i="9"/>
  <c r="H230" i="9" s="1"/>
  <c r="G222" i="9"/>
  <c r="H222" i="9" s="1"/>
  <c r="G213" i="9"/>
  <c r="H213" i="9" s="1"/>
  <c r="E205" i="9"/>
  <c r="F205" i="9" s="1"/>
  <c r="G205" i="9" s="1"/>
  <c r="H205" i="9" s="1"/>
  <c r="F204" i="9"/>
  <c r="G204" i="9" s="1"/>
  <c r="H204" i="9" s="1"/>
  <c r="E203" i="9"/>
  <c r="F203" i="9" s="1"/>
  <c r="F194" i="9"/>
  <c r="G194" i="9" s="1"/>
  <c r="H192" i="9"/>
  <c r="F192" i="9"/>
  <c r="G192" i="9" s="1"/>
  <c r="F191" i="9"/>
  <c r="G191" i="9" s="1"/>
  <c r="H191" i="9" s="1"/>
  <c r="C189" i="9"/>
  <c r="H189" i="9" s="1"/>
  <c r="C188" i="9"/>
  <c r="H188" i="9" s="1"/>
  <c r="F186" i="9"/>
  <c r="G186" i="9" s="1"/>
  <c r="H186" i="9" s="1"/>
  <c r="F185" i="9"/>
  <c r="G185" i="9" s="1"/>
  <c r="C185" i="9"/>
  <c r="E178" i="9"/>
  <c r="F178" i="9" s="1"/>
  <c r="F177" i="9"/>
  <c r="G177" i="9" s="1"/>
  <c r="H177" i="9" s="1"/>
  <c r="F176" i="9"/>
  <c r="G176" i="9" s="1"/>
  <c r="H176" i="9" s="1"/>
  <c r="G168" i="9"/>
  <c r="H168" i="9" s="1"/>
  <c r="H169" i="9" s="1"/>
  <c r="H170" i="9" s="1"/>
  <c r="B162" i="9"/>
  <c r="F162" i="9" s="1"/>
  <c r="B157" i="9"/>
  <c r="B161" i="9" s="1"/>
  <c r="H147" i="9"/>
  <c r="E146" i="9"/>
  <c r="F146" i="9" s="1"/>
  <c r="H145" i="9"/>
  <c r="E144" i="9"/>
  <c r="F144" i="9"/>
  <c r="F136" i="9"/>
  <c r="G136" i="9" s="1"/>
  <c r="H136" i="9" s="1"/>
  <c r="H125" i="9"/>
  <c r="H124" i="9"/>
  <c r="F123" i="9"/>
  <c r="G123" i="9" s="1"/>
  <c r="H123" i="9" s="1"/>
  <c r="H122" i="9"/>
  <c r="H113" i="9"/>
  <c r="H112" i="9"/>
  <c r="F111" i="9"/>
  <c r="G111" i="9" s="1"/>
  <c r="H111" i="9" s="1"/>
  <c r="F110" i="9"/>
  <c r="G110" i="9" s="1"/>
  <c r="H110" i="9" s="1"/>
  <c r="F104" i="9"/>
  <c r="G104" i="9" s="1"/>
  <c r="H104" i="9" s="1"/>
  <c r="H105" i="9" s="1"/>
  <c r="H106" i="9" s="1"/>
  <c r="H99" i="9"/>
  <c r="G99" i="9"/>
  <c r="H98" i="9"/>
  <c r="G98" i="9"/>
  <c r="G97" i="9"/>
  <c r="H97" i="9" s="1"/>
  <c r="G96" i="9"/>
  <c r="H96" i="9" s="1"/>
  <c r="H89" i="9"/>
  <c r="H88" i="9"/>
  <c r="F81" i="9"/>
  <c r="G81" i="9" s="1"/>
  <c r="H81" i="9" s="1"/>
  <c r="H74" i="9"/>
  <c r="H73" i="9"/>
  <c r="F66" i="9"/>
  <c r="G66" i="9" s="1"/>
  <c r="H66" i="9" s="1"/>
  <c r="H58" i="9"/>
  <c r="H57" i="9"/>
  <c r="F50" i="9"/>
  <c r="G50" i="9" s="1"/>
  <c r="H50" i="9" s="1"/>
  <c r="H43" i="9"/>
  <c r="H42" i="9"/>
  <c r="F35" i="9"/>
  <c r="G35" i="9" s="1"/>
  <c r="H35" i="9" s="1"/>
  <c r="H36" i="9" s="1"/>
  <c r="B29" i="9"/>
  <c r="F29" i="9" s="1"/>
  <c r="F28" i="9"/>
  <c r="G19" i="9"/>
  <c r="H19" i="9" s="1"/>
  <c r="E24" i="7" s="1"/>
  <c r="E184" i="5" s="1"/>
  <c r="G15" i="9"/>
  <c r="H15" i="9" s="1"/>
  <c r="E23" i="7" s="1"/>
  <c r="E183" i="5" s="1"/>
  <c r="G8" i="9"/>
  <c r="H8" i="9" s="1"/>
  <c r="F7" i="9"/>
  <c r="G7" i="9" s="1"/>
  <c r="H7" i="9" s="1"/>
  <c r="G6" i="9"/>
  <c r="H6" i="9" s="1"/>
  <c r="G390" i="8"/>
  <c r="F390" i="8"/>
  <c r="B389" i="8"/>
  <c r="B384" i="8"/>
  <c r="B387" i="8"/>
  <c r="G387" i="8"/>
  <c r="G386" i="8"/>
  <c r="F386" i="8"/>
  <c r="G385" i="8"/>
  <c r="F385" i="8"/>
  <c r="G375" i="8"/>
  <c r="F375" i="8"/>
  <c r="B374" i="8"/>
  <c r="G374" i="8"/>
  <c r="B372" i="8"/>
  <c r="G372" i="8"/>
  <c r="G360" i="8"/>
  <c r="H354" i="8"/>
  <c r="H356" i="8"/>
  <c r="G342" i="8"/>
  <c r="G346" i="8"/>
  <c r="G335" i="8"/>
  <c r="G328" i="8"/>
  <c r="G331" i="8"/>
  <c r="G324" i="8"/>
  <c r="G326" i="8"/>
  <c r="G318" i="8"/>
  <c r="G320" i="8"/>
  <c r="G322" i="8"/>
  <c r="G311" i="8"/>
  <c r="G312" i="8"/>
  <c r="G313" i="8"/>
  <c r="G315" i="8"/>
  <c r="G316" i="8"/>
  <c r="G307" i="8"/>
  <c r="G309" i="8"/>
  <c r="F296" i="8"/>
  <c r="G296" i="8"/>
  <c r="H296" i="8"/>
  <c r="H297" i="8"/>
  <c r="H298" i="8"/>
  <c r="F292" i="8"/>
  <c r="G292" i="8"/>
  <c r="H292" i="8"/>
  <c r="H293" i="8"/>
  <c r="H294" i="8"/>
  <c r="F287" i="8"/>
  <c r="G287" i="8"/>
  <c r="H287" i="8"/>
  <c r="H288" i="8"/>
  <c r="H289" i="8"/>
  <c r="F283" i="8"/>
  <c r="G283" i="8"/>
  <c r="H283" i="8"/>
  <c r="H284" i="8"/>
  <c r="H285" i="8"/>
  <c r="H279" i="8"/>
  <c r="H278" i="8"/>
  <c r="F271" i="8"/>
  <c r="G271" i="8"/>
  <c r="H271" i="8"/>
  <c r="H263" i="8"/>
  <c r="H262" i="8"/>
  <c r="F255" i="8"/>
  <c r="G255" i="8"/>
  <c r="H255" i="8"/>
  <c r="G240" i="8"/>
  <c r="H240" i="8"/>
  <c r="F239" i="8"/>
  <c r="G239" i="8"/>
  <c r="H239" i="8"/>
  <c r="H241" i="8"/>
  <c r="G231" i="8"/>
  <c r="H231" i="8"/>
  <c r="F230" i="8"/>
  <c r="G230" i="8"/>
  <c r="H230" i="8"/>
  <c r="H232" i="8"/>
  <c r="G222" i="8"/>
  <c r="H222" i="8"/>
  <c r="F221" i="8"/>
  <c r="G221" i="8"/>
  <c r="H221" i="8"/>
  <c r="H223" i="8"/>
  <c r="G213" i="8"/>
  <c r="H213" i="8"/>
  <c r="E212" i="8"/>
  <c r="F212" i="8"/>
  <c r="G212" i="8"/>
  <c r="H212" i="8"/>
  <c r="H214" i="8"/>
  <c r="E205" i="8"/>
  <c r="F205" i="8"/>
  <c r="G205" i="8"/>
  <c r="H205" i="8"/>
  <c r="F204" i="8"/>
  <c r="G204" i="8"/>
  <c r="H204" i="8"/>
  <c r="E203" i="8"/>
  <c r="F203" i="8"/>
  <c r="G203" i="8"/>
  <c r="H203" i="8"/>
  <c r="F194" i="8"/>
  <c r="G194" i="8"/>
  <c r="H192" i="8"/>
  <c r="F192" i="8"/>
  <c r="G192" i="8"/>
  <c r="F191" i="8"/>
  <c r="G191" i="8"/>
  <c r="H191" i="8"/>
  <c r="C189" i="8"/>
  <c r="H189" i="8"/>
  <c r="C188" i="8"/>
  <c r="H188" i="8"/>
  <c r="F186" i="8"/>
  <c r="G186" i="8"/>
  <c r="H186" i="8"/>
  <c r="F185" i="8"/>
  <c r="G185" i="8"/>
  <c r="C185" i="8"/>
  <c r="H185" i="8"/>
  <c r="E178" i="8"/>
  <c r="F178" i="8"/>
  <c r="G178" i="8"/>
  <c r="H178" i="8"/>
  <c r="F177" i="8"/>
  <c r="G177" i="8"/>
  <c r="H177" i="8"/>
  <c r="F176" i="8"/>
  <c r="G176" i="8"/>
  <c r="H176" i="8"/>
  <c r="H179" i="8"/>
  <c r="H180" i="8"/>
  <c r="G168" i="8"/>
  <c r="H168" i="8"/>
  <c r="H169" i="8"/>
  <c r="H170" i="8"/>
  <c r="B162" i="8"/>
  <c r="G162" i="8"/>
  <c r="F162" i="8"/>
  <c r="B157" i="8"/>
  <c r="B161" i="8"/>
  <c r="F161" i="8"/>
  <c r="F163" i="8"/>
  <c r="G161" i="8"/>
  <c r="G163" i="8"/>
  <c r="G155" i="8"/>
  <c r="H148" i="8"/>
  <c r="E147" i="8"/>
  <c r="H147" i="8"/>
  <c r="F146" i="8"/>
  <c r="G146" i="8"/>
  <c r="H146" i="8"/>
  <c r="H145" i="8"/>
  <c r="F144" i="8"/>
  <c r="G144" i="8"/>
  <c r="H144" i="8"/>
  <c r="F136" i="8"/>
  <c r="G136" i="8"/>
  <c r="H136" i="8"/>
  <c r="F135" i="8"/>
  <c r="G135" i="8"/>
  <c r="H135" i="8"/>
  <c r="H138" i="8"/>
  <c r="H139" i="8"/>
  <c r="H125" i="8"/>
  <c r="E124" i="8"/>
  <c r="H124" i="8"/>
  <c r="F123" i="8"/>
  <c r="G123" i="8"/>
  <c r="H123" i="8"/>
  <c r="H122" i="8"/>
  <c r="F121" i="8"/>
  <c r="G121" i="8"/>
  <c r="H121" i="8"/>
  <c r="H128" i="8"/>
  <c r="H129" i="8"/>
  <c r="E113" i="8"/>
  <c r="H113" i="8"/>
  <c r="E112" i="8"/>
  <c r="H112" i="8"/>
  <c r="F111" i="8"/>
  <c r="G111" i="8"/>
  <c r="H111" i="8"/>
  <c r="F110" i="8"/>
  <c r="G110" i="8"/>
  <c r="H110" i="8"/>
  <c r="H115" i="8"/>
  <c r="H116" i="8"/>
  <c r="F104" i="8"/>
  <c r="G104" i="8"/>
  <c r="H104" i="8"/>
  <c r="H105" i="8"/>
  <c r="H106" i="8"/>
  <c r="H99" i="8"/>
  <c r="G99" i="8"/>
  <c r="H98" i="8"/>
  <c r="G98" i="8"/>
  <c r="G97" i="8"/>
  <c r="H97" i="8"/>
  <c r="G96" i="8"/>
  <c r="H96" i="8"/>
  <c r="H100" i="8"/>
  <c r="H89" i="8"/>
  <c r="H88" i="8"/>
  <c r="F81" i="8"/>
  <c r="G81" i="8"/>
  <c r="H81" i="8"/>
  <c r="H74" i="8"/>
  <c r="H73" i="8"/>
  <c r="F66" i="8"/>
  <c r="G66" i="8"/>
  <c r="H66" i="8"/>
  <c r="H58" i="8"/>
  <c r="H57" i="8"/>
  <c r="F50" i="8"/>
  <c r="G50" i="8"/>
  <c r="H50" i="8"/>
  <c r="H55" i="8"/>
  <c r="H59" i="8"/>
  <c r="H43" i="8"/>
  <c r="H42" i="8"/>
  <c r="F35" i="8"/>
  <c r="G35" i="8"/>
  <c r="H35" i="8"/>
  <c r="H36" i="8"/>
  <c r="H40" i="8"/>
  <c r="H44" i="8"/>
  <c r="H45" i="8"/>
  <c r="B29" i="8"/>
  <c r="F29" i="8"/>
  <c r="G29" i="8"/>
  <c r="G28" i="8"/>
  <c r="G30" i="8"/>
  <c r="G22" i="8"/>
  <c r="F28" i="8"/>
  <c r="F30" i="8"/>
  <c r="G19" i="8"/>
  <c r="H19" i="8"/>
  <c r="G15" i="8"/>
  <c r="H15" i="8"/>
  <c r="G8" i="8"/>
  <c r="H8" i="8"/>
  <c r="F7" i="8"/>
  <c r="G7" i="8"/>
  <c r="H7" i="8"/>
  <c r="G6" i="8"/>
  <c r="H6" i="8"/>
  <c r="H9" i="8"/>
  <c r="H10" i="8"/>
  <c r="F212" i="9"/>
  <c r="G212" i="9" s="1"/>
  <c r="H212" i="9" s="1"/>
  <c r="F221" i="9"/>
  <c r="G221" i="9" s="1"/>
  <c r="H221" i="9" s="1"/>
  <c r="G255" i="9"/>
  <c r="H255" i="9" s="1"/>
  <c r="H256" i="8"/>
  <c r="H260" i="8"/>
  <c r="H264" i="8"/>
  <c r="H265" i="8"/>
  <c r="H82" i="8"/>
  <c r="H86" i="8"/>
  <c r="H90" i="8"/>
  <c r="H151" i="8"/>
  <c r="H152" i="8"/>
  <c r="H276" i="8"/>
  <c r="H280" i="8"/>
  <c r="H272" i="8"/>
  <c r="F22" i="8"/>
  <c r="H30" i="8"/>
  <c r="H22" i="8"/>
  <c r="H71" i="8"/>
  <c r="H75" i="8"/>
  <c r="H67" i="8"/>
  <c r="H76" i="8"/>
  <c r="G337" i="8"/>
  <c r="H194" i="8"/>
  <c r="G195" i="8"/>
  <c r="F155" i="8"/>
  <c r="H163" i="8"/>
  <c r="H155" i="8"/>
  <c r="H206" i="8"/>
  <c r="H207" i="8"/>
  <c r="G376" i="8"/>
  <c r="G367" i="8"/>
  <c r="F384" i="8"/>
  <c r="G384" i="8"/>
  <c r="G389" i="8"/>
  <c r="G391" i="8"/>
  <c r="G379" i="8"/>
  <c r="F374" i="8"/>
  <c r="F389" i="8"/>
  <c r="H51" i="8"/>
  <c r="H60" i="8"/>
  <c r="F372" i="8"/>
  <c r="F387" i="8"/>
  <c r="H40" i="7"/>
  <c r="F319" i="5"/>
  <c r="H159" i="7" s="1"/>
  <c r="F320" i="5"/>
  <c r="H160" i="7" s="1"/>
  <c r="H76" i="7"/>
  <c r="H77" i="7"/>
  <c r="H78" i="7"/>
  <c r="H79" i="7"/>
  <c r="H108" i="7"/>
  <c r="H109" i="7"/>
  <c r="H121" i="7"/>
  <c r="H128" i="7"/>
  <c r="F162" i="3"/>
  <c r="F163" i="3"/>
  <c r="F176" i="3"/>
  <c r="F170" i="3"/>
  <c r="F174" i="3"/>
  <c r="F167" i="3"/>
  <c r="F173" i="3"/>
  <c r="F175" i="3"/>
  <c r="F168" i="3"/>
  <c r="F169" i="3"/>
  <c r="F177" i="3"/>
  <c r="F171" i="3"/>
  <c r="F172" i="3"/>
  <c r="F166" i="3"/>
  <c r="F16" i="7"/>
  <c r="F17" i="7"/>
  <c r="F27" i="7"/>
  <c r="F28" i="7"/>
  <c r="F29" i="7"/>
  <c r="F31" i="7"/>
  <c r="F32" i="7"/>
  <c r="F33" i="7"/>
  <c r="F34" i="7"/>
  <c r="F36" i="7"/>
  <c r="F38" i="7"/>
  <c r="F40" i="7"/>
  <c r="F56" i="7"/>
  <c r="G56" i="7" s="1"/>
  <c r="F70" i="7"/>
  <c r="G70" i="7" s="1"/>
  <c r="F71" i="7"/>
  <c r="G71" i="7" s="1"/>
  <c r="F72" i="7"/>
  <c r="G72" i="7" s="1"/>
  <c r="F73" i="7"/>
  <c r="G73" i="7" s="1"/>
  <c r="F76" i="7"/>
  <c r="G76" i="7" s="1"/>
  <c r="F77" i="7"/>
  <c r="G77" i="7" s="1"/>
  <c r="F78" i="7"/>
  <c r="G78" i="7" s="1"/>
  <c r="F79" i="7"/>
  <c r="G79" i="7" s="1"/>
  <c r="F108" i="7"/>
  <c r="F109" i="7"/>
  <c r="F110" i="7"/>
  <c r="F111" i="7"/>
  <c r="F114" i="7"/>
  <c r="G114" i="7" s="1"/>
  <c r="F115" i="7"/>
  <c r="G115" i="7" s="1"/>
  <c r="F116" i="7"/>
  <c r="G116" i="7" s="1"/>
  <c r="F117" i="7"/>
  <c r="G117" i="7" s="1"/>
  <c r="F120" i="7"/>
  <c r="G120" i="7" s="1"/>
  <c r="F121" i="7"/>
  <c r="F128" i="7"/>
  <c r="G128" i="7" s="1"/>
  <c r="F129" i="7"/>
  <c r="G129" i="7" s="1"/>
  <c r="F132" i="7"/>
  <c r="F135" i="7"/>
  <c r="F150" i="7"/>
  <c r="F151" i="7"/>
  <c r="F159" i="7"/>
  <c r="F160" i="7"/>
  <c r="F178" i="3"/>
  <c r="F180" i="3"/>
  <c r="F158" i="5"/>
  <c r="F157" i="5"/>
  <c r="F153" i="5"/>
  <c r="F152" i="5"/>
  <c r="F149" i="5"/>
  <c r="F148" i="5"/>
  <c r="F154" i="5" s="1"/>
  <c r="F139" i="5"/>
  <c r="H141" i="7" s="1"/>
  <c r="F134" i="5"/>
  <c r="F133" i="5"/>
  <c r="F130" i="5"/>
  <c r="F127" i="5"/>
  <c r="F126" i="5"/>
  <c r="F125" i="5"/>
  <c r="F124" i="5"/>
  <c r="F123" i="5"/>
  <c r="F122" i="5"/>
  <c r="F119" i="5"/>
  <c r="F118" i="5"/>
  <c r="F115" i="5"/>
  <c r="F114" i="5"/>
  <c r="F113" i="5"/>
  <c r="F112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77" i="5"/>
  <c r="F76" i="5"/>
  <c r="F75" i="5"/>
  <c r="F74" i="5"/>
  <c r="F71" i="5"/>
  <c r="H73" i="7" s="1"/>
  <c r="F70" i="5"/>
  <c r="H72" i="7" s="1"/>
  <c r="F69" i="5"/>
  <c r="H71" i="7" s="1"/>
  <c r="F68" i="5"/>
  <c r="H70" i="7" s="1"/>
  <c r="F65" i="5"/>
  <c r="F64" i="5"/>
  <c r="F55" i="5"/>
  <c r="F54" i="5"/>
  <c r="H56" i="7" s="1"/>
  <c r="F38" i="5"/>
  <c r="F36" i="5"/>
  <c r="H38" i="7" s="1"/>
  <c r="F13" i="5"/>
  <c r="H15" i="7" s="1"/>
  <c r="F14" i="5"/>
  <c r="H16" i="7" s="1"/>
  <c r="F15" i="5"/>
  <c r="H17" i="7" s="1"/>
  <c r="F18" i="5"/>
  <c r="F21" i="5"/>
  <c r="F22" i="5"/>
  <c r="F25" i="5"/>
  <c r="H27" i="7" s="1"/>
  <c r="F26" i="5"/>
  <c r="H28" i="7" s="1"/>
  <c r="F27" i="5"/>
  <c r="H29" i="7" s="1"/>
  <c r="F28" i="5"/>
  <c r="H30" i="7" s="1"/>
  <c r="F29" i="5"/>
  <c r="H31" i="7" s="1"/>
  <c r="F30" i="5"/>
  <c r="H32" i="7" s="1"/>
  <c r="F31" i="5"/>
  <c r="H33" i="7" s="1"/>
  <c r="F32" i="5"/>
  <c r="H34" i="7" s="1"/>
  <c r="F34" i="5"/>
  <c r="H36" i="7" s="1"/>
  <c r="F158" i="3"/>
  <c r="F157" i="3"/>
  <c r="F159" i="3"/>
  <c r="F153" i="3"/>
  <c r="F149" i="3"/>
  <c r="F148" i="3"/>
  <c r="F139" i="3"/>
  <c r="F134" i="3"/>
  <c r="F133" i="3"/>
  <c r="F130" i="3"/>
  <c r="F127" i="3"/>
  <c r="F126" i="3"/>
  <c r="F125" i="3"/>
  <c r="F124" i="3"/>
  <c r="F123" i="3"/>
  <c r="F122" i="3"/>
  <c r="F119" i="3"/>
  <c r="F118" i="3"/>
  <c r="F115" i="3"/>
  <c r="F114" i="3"/>
  <c r="F113" i="3"/>
  <c r="F112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77" i="3"/>
  <c r="F76" i="3"/>
  <c r="F75" i="3"/>
  <c r="F74" i="3"/>
  <c r="F71" i="3"/>
  <c r="F70" i="3"/>
  <c r="F69" i="3"/>
  <c r="F68" i="3"/>
  <c r="F65" i="3"/>
  <c r="F64" i="3"/>
  <c r="F55" i="3"/>
  <c r="F54" i="3"/>
  <c r="F38" i="3"/>
  <c r="F36" i="3"/>
  <c r="F34" i="3"/>
  <c r="F32" i="3"/>
  <c r="F31" i="3"/>
  <c r="F30" i="3"/>
  <c r="F29" i="3"/>
  <c r="F28" i="3"/>
  <c r="F27" i="3"/>
  <c r="F26" i="3"/>
  <c r="F25" i="3"/>
  <c r="F22" i="3"/>
  <c r="F21" i="3"/>
  <c r="F15" i="3"/>
  <c r="F14" i="3"/>
  <c r="F13" i="3"/>
  <c r="F154" i="3"/>
  <c r="F142" i="3"/>
  <c r="H281" i="8"/>
  <c r="G380" i="8"/>
  <c r="F391" i="8"/>
  <c r="H195" i="8"/>
  <c r="H196" i="8"/>
  <c r="H197" i="8"/>
  <c r="F195" i="8"/>
  <c r="E195" i="8"/>
  <c r="G368" i="8"/>
  <c r="H91" i="8"/>
  <c r="F376" i="8"/>
  <c r="H376" i="8"/>
  <c r="F367" i="8"/>
  <c r="H391" i="8"/>
  <c r="F379" i="8"/>
  <c r="F380" i="8"/>
  <c r="H380" i="8"/>
  <c r="H379" i="8"/>
  <c r="F368" i="8"/>
  <c r="H368" i="8"/>
  <c r="H367" i="8"/>
  <c r="I73" i="7" l="1"/>
  <c r="H132" i="7"/>
  <c r="H120" i="7"/>
  <c r="H150" i="7"/>
  <c r="H135" i="7"/>
  <c r="H117" i="7"/>
  <c r="H116" i="7"/>
  <c r="H115" i="7"/>
  <c r="H151" i="7"/>
  <c r="H114" i="7"/>
  <c r="I117" i="7" s="1"/>
  <c r="H111" i="7"/>
  <c r="H136" i="7"/>
  <c r="H129" i="7"/>
  <c r="H110" i="7"/>
  <c r="I79" i="7"/>
  <c r="I121" i="7"/>
  <c r="F159" i="5"/>
  <c r="F142" i="5"/>
  <c r="F126" i="7"/>
  <c r="F387" i="9"/>
  <c r="H356" i="9"/>
  <c r="E140" i="7" s="1"/>
  <c r="F127" i="7"/>
  <c r="F125" i="7"/>
  <c r="E285" i="5"/>
  <c r="H125" i="7" s="1"/>
  <c r="F124" i="7"/>
  <c r="E284" i="5"/>
  <c r="F39" i="5"/>
  <c r="F374" i="9"/>
  <c r="F376" i="9" s="1"/>
  <c r="F24" i="7"/>
  <c r="E184" i="10"/>
  <c r="F184" i="10" s="1"/>
  <c r="G24" i="7" s="1"/>
  <c r="H24" i="7"/>
  <c r="F23" i="7"/>
  <c r="H23" i="7"/>
  <c r="E183" i="10"/>
  <c r="F183" i="10" s="1"/>
  <c r="E285" i="10"/>
  <c r="F285" i="10" s="1"/>
  <c r="F389" i="9"/>
  <c r="G337" i="9"/>
  <c r="E139" i="7" s="1"/>
  <c r="E299" i="5" s="1"/>
  <c r="E45" i="7"/>
  <c r="E286" i="10"/>
  <c r="F286" i="10" s="1"/>
  <c r="H126" i="7"/>
  <c r="H127" i="7"/>
  <c r="E287" i="10"/>
  <c r="F287" i="10" s="1"/>
  <c r="G127" i="7" s="1"/>
  <c r="F321" i="5"/>
  <c r="H161" i="7" s="1"/>
  <c r="H124" i="7"/>
  <c r="E284" i="10"/>
  <c r="E57" i="7"/>
  <c r="E217" i="5" s="1"/>
  <c r="H57" i="7" s="1"/>
  <c r="F39" i="3"/>
  <c r="F161" i="7"/>
  <c r="H185" i="9"/>
  <c r="G372" i="9"/>
  <c r="G376" i="9" s="1"/>
  <c r="G367" i="9" s="1"/>
  <c r="H241" i="9"/>
  <c r="E67" i="7" s="1"/>
  <c r="E227" i="5" s="1"/>
  <c r="F30" i="9"/>
  <c r="F22" i="9" s="1"/>
  <c r="G162" i="9"/>
  <c r="H256" i="9"/>
  <c r="F121" i="9"/>
  <c r="G121" i="9" s="1"/>
  <c r="H121" i="9" s="1"/>
  <c r="H128" i="9" s="1"/>
  <c r="H129" i="9" s="1"/>
  <c r="E49" i="7" s="1"/>
  <c r="E209" i="5" s="1"/>
  <c r="H82" i="9"/>
  <c r="H86" i="9"/>
  <c r="H90" i="9" s="1"/>
  <c r="G195" i="9"/>
  <c r="F195" i="9" s="1"/>
  <c r="H194" i="9"/>
  <c r="H223" i="9"/>
  <c r="E65" i="7" s="1"/>
  <c r="E225" i="5" s="1"/>
  <c r="H40" i="9"/>
  <c r="H44" i="9" s="1"/>
  <c r="H45" i="9" s="1"/>
  <c r="G144" i="9"/>
  <c r="H144" i="9" s="1"/>
  <c r="H214" i="9"/>
  <c r="E64" i="7" s="1"/>
  <c r="G389" i="9"/>
  <c r="H232" i="9"/>
  <c r="E66" i="7" s="1"/>
  <c r="E226" i="5" s="1"/>
  <c r="G161" i="9"/>
  <c r="F161" i="9"/>
  <c r="F163" i="9" s="1"/>
  <c r="F384" i="9"/>
  <c r="G384" i="9"/>
  <c r="H55" i="9"/>
  <c r="H59" i="9" s="1"/>
  <c r="H51" i="9"/>
  <c r="H67" i="9"/>
  <c r="H71" i="9"/>
  <c r="H75" i="9" s="1"/>
  <c r="H276" i="9"/>
  <c r="H280" i="9" s="1"/>
  <c r="H272" i="9"/>
  <c r="H115" i="9"/>
  <c r="H116" i="9" s="1"/>
  <c r="G29" i="9"/>
  <c r="G146" i="9"/>
  <c r="H146" i="9" s="1"/>
  <c r="H9" i="9"/>
  <c r="H10" i="9" s="1"/>
  <c r="E20" i="7" s="1"/>
  <c r="E180" i="5" s="1"/>
  <c r="G203" i="9"/>
  <c r="H203" i="9" s="1"/>
  <c r="H206" i="9" s="1"/>
  <c r="H207" i="9" s="1"/>
  <c r="E60" i="7" s="1"/>
  <c r="E220" i="5" s="1"/>
  <c r="G178" i="9"/>
  <c r="H178" i="9" s="1"/>
  <c r="H179" i="9" s="1"/>
  <c r="H180" i="9" s="1"/>
  <c r="E58" i="7" s="1"/>
  <c r="E218" i="5" s="1"/>
  <c r="G28" i="9"/>
  <c r="I129" i="7" l="1"/>
  <c r="I136" i="7"/>
  <c r="G23" i="7"/>
  <c r="F161" i="5"/>
  <c r="F162" i="5" s="1"/>
  <c r="G125" i="7"/>
  <c r="G126" i="7"/>
  <c r="E300" i="5"/>
  <c r="H140" i="7" s="1"/>
  <c r="E300" i="10"/>
  <c r="F300" i="10" s="1"/>
  <c r="G140" i="7" s="1"/>
  <c r="F140" i="7"/>
  <c r="E208" i="5"/>
  <c r="H48" i="7" s="1"/>
  <c r="E208" i="10"/>
  <c r="H260" i="9"/>
  <c r="H264" i="9" s="1"/>
  <c r="H265" i="9" s="1"/>
  <c r="E83" i="7" s="1"/>
  <c r="F367" i="9"/>
  <c r="F368" i="9" s="1"/>
  <c r="H376" i="9"/>
  <c r="F391" i="9"/>
  <c r="F49" i="7"/>
  <c r="H49" i="7"/>
  <c r="E209" i="10"/>
  <c r="E205" i="5"/>
  <c r="H45" i="7" s="1"/>
  <c r="E205" i="10"/>
  <c r="F205" i="10" s="1"/>
  <c r="F45" i="7"/>
  <c r="G45" i="7" s="1"/>
  <c r="H60" i="7"/>
  <c r="E220" i="10"/>
  <c r="F220" i="10" s="1"/>
  <c r="F60" i="7"/>
  <c r="F20" i="7"/>
  <c r="E180" i="10"/>
  <c r="F180" i="10" s="1"/>
  <c r="E227" i="10"/>
  <c r="F227" i="10" s="1"/>
  <c r="H67" i="7"/>
  <c r="F67" i="7"/>
  <c r="E226" i="10"/>
  <c r="F226" i="10" s="1"/>
  <c r="H66" i="7"/>
  <c r="F66" i="7"/>
  <c r="F139" i="7"/>
  <c r="H139" i="7"/>
  <c r="E299" i="10"/>
  <c r="F284" i="10"/>
  <c r="G124" i="7" s="1"/>
  <c r="E225" i="10"/>
  <c r="F225" i="10" s="1"/>
  <c r="F65" i="7"/>
  <c r="E224" i="5"/>
  <c r="E224" i="10"/>
  <c r="F224" i="10" s="1"/>
  <c r="F64" i="7"/>
  <c r="F58" i="7"/>
  <c r="E218" i="10"/>
  <c r="F218" i="10" s="1"/>
  <c r="G58" i="7" s="1"/>
  <c r="F57" i="7"/>
  <c r="E217" i="10"/>
  <c r="F217" i="10" s="1"/>
  <c r="G57" i="7" s="1"/>
  <c r="G163" i="9"/>
  <c r="G155" i="9" s="1"/>
  <c r="H91" i="9"/>
  <c r="H60" i="9"/>
  <c r="H151" i="9"/>
  <c r="H152" i="9" s="1"/>
  <c r="H76" i="9"/>
  <c r="E195" i="9"/>
  <c r="H195" i="9"/>
  <c r="H196" i="9" s="1"/>
  <c r="H197" i="9" s="1"/>
  <c r="E59" i="7" s="1"/>
  <c r="E219" i="5" s="1"/>
  <c r="G391" i="9"/>
  <c r="G379" i="9" s="1"/>
  <c r="G380" i="9" s="1"/>
  <c r="G30" i="9"/>
  <c r="G368" i="9"/>
  <c r="H281" i="9"/>
  <c r="E99" i="7" s="1"/>
  <c r="E259" i="5" s="1"/>
  <c r="F155" i="9"/>
  <c r="H46" i="3" l="1"/>
  <c r="F201" i="5"/>
  <c r="H41" i="7" s="1"/>
  <c r="I141" i="7"/>
  <c r="G49" i="7"/>
  <c r="H367" i="9"/>
  <c r="H368" i="9"/>
  <c r="E155" i="7" s="1"/>
  <c r="E315" i="5" s="1"/>
  <c r="H155" i="7" s="1"/>
  <c r="G60" i="7"/>
  <c r="G64" i="7"/>
  <c r="G65" i="7"/>
  <c r="G67" i="7"/>
  <c r="G66" i="7"/>
  <c r="G20" i="7"/>
  <c r="F201" i="10"/>
  <c r="H391" i="9"/>
  <c r="E243" i="5"/>
  <c r="H83" i="7" s="1"/>
  <c r="E84" i="7"/>
  <c r="F83" i="7"/>
  <c r="E243" i="10"/>
  <c r="F243" i="10" s="1"/>
  <c r="G83" i="7" s="1"/>
  <c r="F379" i="9"/>
  <c r="F380" i="9" s="1"/>
  <c r="H380" i="9" s="1"/>
  <c r="E154" i="7" s="1"/>
  <c r="E314" i="5" s="1"/>
  <c r="H163" i="9"/>
  <c r="H155" i="9" s="1"/>
  <c r="E55" i="7" s="1"/>
  <c r="E259" i="10"/>
  <c r="F259" i="10" s="1"/>
  <c r="H99" i="7"/>
  <c r="E100" i="7"/>
  <c r="E260" i="5" s="1"/>
  <c r="F99" i="7"/>
  <c r="E315" i="10"/>
  <c r="F315" i="10" s="1"/>
  <c r="F155" i="7"/>
  <c r="F59" i="7"/>
  <c r="G59" i="7" s="1"/>
  <c r="E219" i="10"/>
  <c r="F299" i="10"/>
  <c r="G139" i="7" s="1"/>
  <c r="H65" i="7"/>
  <c r="H64" i="7"/>
  <c r="I67" i="7" s="1"/>
  <c r="H58" i="7"/>
  <c r="E54" i="7"/>
  <c r="H100" i="9"/>
  <c r="G22" i="9"/>
  <c r="F135" i="9" s="1"/>
  <c r="G135" i="9" s="1"/>
  <c r="H135" i="9" s="1"/>
  <c r="H138" i="9" s="1"/>
  <c r="H139" i="9" s="1"/>
  <c r="E50" i="7" s="1"/>
  <c r="E210" i="5" s="1"/>
  <c r="H30" i="9"/>
  <c r="H22" i="9" s="1"/>
  <c r="G48" i="7" l="1"/>
  <c r="G155" i="7"/>
  <c r="H379" i="9"/>
  <c r="G99" i="7"/>
  <c r="E215" i="10"/>
  <c r="F215" i="10" s="1"/>
  <c r="E215" i="5"/>
  <c r="E244" i="10"/>
  <c r="F244" i="10" s="1"/>
  <c r="E244" i="5"/>
  <c r="H84" i="7" s="1"/>
  <c r="F54" i="7"/>
  <c r="E214" i="5"/>
  <c r="F84" i="7"/>
  <c r="E85" i="7"/>
  <c r="H55" i="7"/>
  <c r="F55" i="7"/>
  <c r="E314" i="10"/>
  <c r="F314" i="10" s="1"/>
  <c r="F154" i="7"/>
  <c r="F156" i="7" s="1"/>
  <c r="E210" i="10"/>
  <c r="F50" i="7"/>
  <c r="H50" i="7"/>
  <c r="I50" i="7" s="1"/>
  <c r="E260" i="10"/>
  <c r="F260" i="10" s="1"/>
  <c r="H100" i="7"/>
  <c r="E101" i="7"/>
  <c r="E261" i="5" s="1"/>
  <c r="F100" i="7"/>
  <c r="E214" i="10"/>
  <c r="F214" i="10" s="1"/>
  <c r="G54" i="7" s="1"/>
  <c r="H156" i="7" l="1"/>
  <c r="H154" i="7"/>
  <c r="G50" i="7"/>
  <c r="F316" i="10"/>
  <c r="G156" i="7" s="1"/>
  <c r="G154" i="7"/>
  <c r="E245" i="10"/>
  <c r="F245" i="10" s="1"/>
  <c r="E245" i="5"/>
  <c r="G100" i="7"/>
  <c r="G84" i="7"/>
  <c r="G55" i="7"/>
  <c r="E86" i="7"/>
  <c r="E246" i="5" s="1"/>
  <c r="H86" i="7" s="1"/>
  <c r="F85" i="7"/>
  <c r="H85" i="7"/>
  <c r="E87" i="7"/>
  <c r="E247" i="5" s="1"/>
  <c r="E246" i="10"/>
  <c r="F246" i="10" s="1"/>
  <c r="F86" i="7"/>
  <c r="E102" i="7"/>
  <c r="E262" i="5" s="1"/>
  <c r="H101" i="7"/>
  <c r="E261" i="10"/>
  <c r="F261" i="10" s="1"/>
  <c r="F101" i="7"/>
  <c r="H54" i="7"/>
  <c r="I60" i="7" s="1"/>
  <c r="G86" i="7" l="1"/>
  <c r="G101" i="7"/>
  <c r="G85" i="7"/>
  <c r="E103" i="7"/>
  <c r="E263" i="5" s="1"/>
  <c r="H102" i="7"/>
  <c r="E262" i="10"/>
  <c r="F262" i="10" s="1"/>
  <c r="F102" i="7"/>
  <c r="E88" i="7"/>
  <c r="E248" i="5" s="1"/>
  <c r="E247" i="10"/>
  <c r="F247" i="10" s="1"/>
  <c r="H87" i="7"/>
  <c r="F87" i="7"/>
  <c r="G87" i="7" l="1"/>
  <c r="G102" i="7"/>
  <c r="E104" i="7"/>
  <c r="E264" i="5" s="1"/>
  <c r="E263" i="10"/>
  <c r="F263" i="10" s="1"/>
  <c r="H103" i="7"/>
  <c r="F103" i="7"/>
  <c r="E89" i="7"/>
  <c r="E249" i="5" s="1"/>
  <c r="H88" i="7"/>
  <c r="E248" i="10"/>
  <c r="F248" i="10" s="1"/>
  <c r="F88" i="7"/>
  <c r="G88" i="7" l="1"/>
  <c r="G103" i="7"/>
  <c r="E90" i="7"/>
  <c r="E250" i="5" s="1"/>
  <c r="E249" i="10"/>
  <c r="F249" i="10" s="1"/>
  <c r="H89" i="7"/>
  <c r="F89" i="7"/>
  <c r="E105" i="7"/>
  <c r="E265" i="5" s="1"/>
  <c r="H104" i="7"/>
  <c r="E264" i="10"/>
  <c r="F264" i="10" s="1"/>
  <c r="F104" i="7"/>
  <c r="G104" i="7" l="1"/>
  <c r="G89" i="7"/>
  <c r="E106" i="7"/>
  <c r="E266" i="5" s="1"/>
  <c r="H105" i="7"/>
  <c r="E265" i="10"/>
  <c r="F265" i="10" s="1"/>
  <c r="F105" i="7"/>
  <c r="E91" i="7"/>
  <c r="E251" i="5" s="1"/>
  <c r="E250" i="10"/>
  <c r="F250" i="10" s="1"/>
  <c r="H90" i="7"/>
  <c r="F90" i="7"/>
  <c r="G90" i="7" l="1"/>
  <c r="G105" i="7"/>
  <c r="E92" i="7"/>
  <c r="E252" i="5" s="1"/>
  <c r="E251" i="10"/>
  <c r="F251" i="10" s="1"/>
  <c r="H91" i="7"/>
  <c r="F91" i="7"/>
  <c r="E107" i="7"/>
  <c r="E267" i="5" s="1"/>
  <c r="E266" i="10"/>
  <c r="F266" i="10" s="1"/>
  <c r="H106" i="7"/>
  <c r="F106" i="7"/>
  <c r="G106" i="7" l="1"/>
  <c r="G91" i="7"/>
  <c r="E267" i="10"/>
  <c r="F267" i="10" s="1"/>
  <c r="H107" i="7"/>
  <c r="I111" i="7" s="1"/>
  <c r="F107" i="7"/>
  <c r="E93" i="7"/>
  <c r="E253" i="5" s="1"/>
  <c r="E252" i="10"/>
  <c r="F252" i="10" s="1"/>
  <c r="H92" i="7"/>
  <c r="F92" i="7"/>
  <c r="G92" i="7" l="1"/>
  <c r="G107" i="7"/>
  <c r="E94" i="7"/>
  <c r="E254" i="5" s="1"/>
  <c r="E253" i="10"/>
  <c r="F253" i="10" s="1"/>
  <c r="H93" i="7"/>
  <c r="F93" i="7"/>
  <c r="G93" i="7" l="1"/>
  <c r="E95" i="7"/>
  <c r="E255" i="5" s="1"/>
  <c r="E254" i="10"/>
  <c r="F254" i="10" s="1"/>
  <c r="H94" i="7"/>
  <c r="F94" i="7"/>
  <c r="G94" i="7" l="1"/>
  <c r="E96" i="7"/>
  <c r="E256" i="5" s="1"/>
  <c r="H95" i="7"/>
  <c r="E255" i="10"/>
  <c r="F255" i="10" s="1"/>
  <c r="F95" i="7"/>
  <c r="G95" i="7" l="1"/>
  <c r="E256" i="10"/>
  <c r="F256" i="10" s="1"/>
  <c r="F96" i="7"/>
  <c r="F144" i="7" s="1"/>
  <c r="H144" i="7" l="1"/>
  <c r="H96" i="7"/>
  <c r="I96" i="7" s="1"/>
  <c r="F304" i="10"/>
  <c r="G144" i="7" s="1"/>
  <c r="G96" i="7"/>
  <c r="F323" i="5" l="1"/>
  <c r="H163" i="7" s="1"/>
  <c r="F323" i="10"/>
  <c r="F324" i="10" s="1"/>
  <c r="F333" i="10" s="1"/>
  <c r="F324" i="5" l="1"/>
  <c r="F332" i="10"/>
  <c r="F329" i="10"/>
  <c r="F336" i="10"/>
  <c r="F335" i="10"/>
  <c r="F337" i="10"/>
  <c r="F327" i="10"/>
  <c r="F331" i="10"/>
  <c r="F330" i="10"/>
  <c r="F338" i="10"/>
  <c r="F328" i="10"/>
  <c r="F326" i="5" l="1"/>
  <c r="H164" i="7"/>
  <c r="F334" i="10"/>
  <c r="F339" i="10" s="1"/>
  <c r="H178" i="7" l="1"/>
  <c r="H175" i="7"/>
  <c r="H167" i="7"/>
  <c r="H177" i="7"/>
  <c r="H168" i="7"/>
  <c r="H174" i="7" s="1"/>
  <c r="H169" i="7"/>
  <c r="H170" i="7"/>
  <c r="H171" i="7"/>
  <c r="H172" i="7"/>
  <c r="H173" i="7"/>
  <c r="H176" i="7"/>
  <c r="F331" i="5"/>
  <c r="F338" i="5"/>
  <c r="F337" i="5"/>
  <c r="F339" i="5"/>
  <c r="F329" i="5"/>
  <c r="F334" i="5"/>
  <c r="F333" i="5"/>
  <c r="F332" i="5"/>
  <c r="F335" i="5"/>
  <c r="F340" i="5"/>
  <c r="F330" i="5"/>
  <c r="F336" i="5" s="1"/>
  <c r="F341" i="10"/>
  <c r="F341" i="5" l="1"/>
  <c r="F343" i="5" s="1"/>
  <c r="H179" i="7"/>
  <c r="H181" i="7" s="1"/>
  <c r="E175" i="10"/>
  <c r="E175" i="5"/>
  <c r="F15" i="7"/>
  <c r="F41" i="7" s="1"/>
  <c r="F163" i="7" l="1"/>
  <c r="G41" i="7"/>
  <c r="G163" i="7" l="1"/>
  <c r="F164" i="7"/>
  <c r="F168" i="7" l="1"/>
  <c r="G164" i="7"/>
  <c r="G167" i="7" s="1"/>
  <c r="F173" i="7"/>
  <c r="G173" i="7" s="1"/>
  <c r="F170" i="7"/>
  <c r="G170" i="7" s="1"/>
  <c r="F178" i="7"/>
  <c r="G178" i="7" s="1"/>
  <c r="F177" i="7"/>
  <c r="G177" i="7" s="1"/>
  <c r="F175" i="7"/>
  <c r="G175" i="7" s="1"/>
  <c r="F167" i="7"/>
  <c r="F169" i="7"/>
  <c r="G169" i="7" s="1"/>
  <c r="F172" i="7"/>
  <c r="G172" i="7" s="1"/>
  <c r="F176" i="7"/>
  <c r="G176" i="7" s="1"/>
  <c r="F171" i="7"/>
  <c r="G171" i="7" s="1"/>
  <c r="G168" i="7" l="1"/>
  <c r="F174" i="7"/>
  <c r="G174" i="7" s="1"/>
  <c r="F179" i="7" l="1"/>
  <c r="G179" i="7" l="1"/>
  <c r="F181" i="7"/>
  <c r="G181" i="7" s="1"/>
</calcChain>
</file>

<file path=xl/sharedStrings.xml><?xml version="1.0" encoding="utf-8"?>
<sst xmlns="http://schemas.openxmlformats.org/spreadsheetml/2006/main" count="3155" uniqueCount="443">
  <si>
    <t>PRESUPUESTO ORIGINAL</t>
  </si>
  <si>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</si>
  <si>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</si>
  <si>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</si>
  <si>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</si>
  <si>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</si>
  <si>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</si>
  <si>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</si>
  <si>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</si>
  <si>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</si>
  <si>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</si>
  <si>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</si>
  <si>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</si>
  <si>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</si>
  <si>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</si>
  <si>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</si>
  <si>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</si>
  <si>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</si>
  <si>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</si>
  <si>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</si>
  <si>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</si>
  <si>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</si>
  <si>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</si>
  <si>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</si>
  <si>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</si>
  <si>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</si>
  <si>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</si>
  <si>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</si>
  <si>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</si>
  <si>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</si>
  <si>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</si>
  <si>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</si>
  <si>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</si>
  <si>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</si>
  <si>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</si>
  <si>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</si>
  <si>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</si>
  <si>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</si>
  <si>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</si>
  <si>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</si>
  <si>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</si>
  <si>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</si>
  <si>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</si>
  <si>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</si>
  <si>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</si>
  <si>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</si>
  <si>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</si>
  <si>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</si>
  <si>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</si>
  <si>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</si>
  <si>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</si>
  <si>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</si>
  <si>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</si>
  <si>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</si>
  <si>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</si>
  <si>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</si>
  <si>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</si>
  <si>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</si>
  <si>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</si>
  <si>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</si>
  <si>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</si>
  <si>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</si>
  <si>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</si>
  <si>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</si>
  <si>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</si>
  <si>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</si>
  <si>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</si>
  <si>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</si>
  <si>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</si>
  <si>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</si>
  <si>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</si>
  <si>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</si>
  <si>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</si>
  <si>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</si>
  <si>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</si>
  <si>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</si>
  <si>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</si>
  <si>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</si>
  <si>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</si>
  <si>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</si>
  <si>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</si>
  <si>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</si>
  <si>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</si>
  <si>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</si>
  <si>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</si>
  <si>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</si>
  <si>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</si>
  <si>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</si>
  <si>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</si>
  <si>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</si>
  <si>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</si>
  <si>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</si>
  <si>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</si>
  <si>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</si>
  <si>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</si>
  <si>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</si>
  <si>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</si>
  <si>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</si>
  <si>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</si>
  <si>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</si>
  <si>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</si>
  <si>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</si>
  <si>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</si>
  <si>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</si>
  <si>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</si>
  <si>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</si>
  <si>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</si>
  <si>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</si>
  <si>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</si>
  <si>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</si>
  <si>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</si>
  <si>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</si>
  <si>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</si>
  <si>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</si>
  <si>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</si>
  <si>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</si>
  <si>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</si>
  <si>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</si>
  <si>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</si>
  <si>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</si>
  <si>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</si>
  <si>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</si>
  <si>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</si>
  <si>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</si>
  <si>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</si>
  <si>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</si>
  <si>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</si>
  <si>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</si>
  <si>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</si>
  <si>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</si>
  <si>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</si>
  <si>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</si>
  <si>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</si>
  <si>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</si>
  <si>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</si>
  <si>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</si>
  <si>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</si>
  <si>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</si>
  <si>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</si>
  <si>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</si>
  <si>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</si>
  <si>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</si>
  <si>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</si>
  <si>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</si>
  <si>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</si>
  <si>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</si>
  <si>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</si>
  <si>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</si>
  <si>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</si>
  <si>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</si>
  <si>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</si>
  <si>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</si>
  <si>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</si>
  <si>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</si>
  <si>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</si>
  <si>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</si>
  <si>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</si>
  <si>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</si>
  <si>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</si>
  <si>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</si>
  <si>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</si>
  <si>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</si>
  <si>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</si>
  <si>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</si>
  <si>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</si>
  <si>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</si>
  <si>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</si>
  <si>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</si>
  <si>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</si>
  <si>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</si>
  <si>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</si>
  <si>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</si>
  <si>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</si>
  <si>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</si>
  <si>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</si>
  <si>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</si>
  <si>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</si>
  <si>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</si>
  <si>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</si>
  <si>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</si>
  <si>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SUB-TOTAL GENERAL</t>
  </si>
  <si>
    <t>SUB-TOTAL GENERAL  ACTUALIZADO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</si>
  <si>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</si>
  <si>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</si>
  <si>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</si>
  <si>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</si>
  <si>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</si>
  <si>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</si>
  <si>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</si>
  <si>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</si>
  <si>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</si>
  <si>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</si>
  <si>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</si>
  <si>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</si>
  <si>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</si>
  <si>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</si>
  <si>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</si>
  <si>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>Bomba de achique de 4''</t>
  </si>
  <si>
    <t>No.</t>
  </si>
  <si>
    <t>Descripción</t>
  </si>
  <si>
    <t>Cantidad</t>
  </si>
  <si>
    <t>Unidad</t>
  </si>
  <si>
    <t>Precio S/ITBIS</t>
  </si>
  <si>
    <t>ITBIS</t>
  </si>
  <si>
    <t>Precio + ITBIS</t>
  </si>
  <si>
    <t>Costo RD$</t>
  </si>
  <si>
    <t xml:space="preserve">Combustible </t>
  </si>
  <si>
    <t>Gl</t>
  </si>
  <si>
    <t xml:space="preserve">Operador </t>
  </si>
  <si>
    <t>Costo Total / Hr</t>
  </si>
  <si>
    <t>Costo / Hr</t>
  </si>
  <si>
    <t>Maestro de obra</t>
  </si>
  <si>
    <t>Obrero</t>
  </si>
  <si>
    <t>DESCRIPCION</t>
  </si>
  <si>
    <t>CANT</t>
  </si>
  <si>
    <t>UND</t>
  </si>
  <si>
    <t>PU</t>
  </si>
  <si>
    <t>SUBTOTAL</t>
  </si>
  <si>
    <t>SUBTOTAL ITBIS</t>
  </si>
  <si>
    <t>TOTAL</t>
  </si>
  <si>
    <t>RETROPALA CAT416E O SIMILAR</t>
  </si>
  <si>
    <t>HR</t>
  </si>
  <si>
    <t>Retropala CAT416E o similar</t>
  </si>
  <si>
    <t>Volumen Análisis</t>
  </si>
  <si>
    <t>Rendimientos</t>
  </si>
  <si>
    <t>Consumo Combustible</t>
  </si>
  <si>
    <t>GL/HR</t>
  </si>
  <si>
    <t>Materiales y Equipos</t>
  </si>
  <si>
    <t>Renta Retropala CAT416E con operador</t>
  </si>
  <si>
    <t>GLS</t>
  </si>
  <si>
    <t>Total/UND</t>
  </si>
  <si>
    <t>Tee de 16 pulg x8 SCH-30</t>
  </si>
  <si>
    <t>SUMINISTRO</t>
  </si>
  <si>
    <t xml:space="preserve">Tee de 16 pulg </t>
  </si>
  <si>
    <t>Pulg</t>
  </si>
  <si>
    <t>RD$/ML</t>
  </si>
  <si>
    <t>INSTALACION</t>
  </si>
  <si>
    <t>Uso de Equipos y Herramientas</t>
  </si>
  <si>
    <t>Equipos de Proteccion Personal</t>
  </si>
  <si>
    <t>P.A</t>
  </si>
  <si>
    <t>Herramientas Menores 2%(Llaves y Diferencial)</t>
  </si>
  <si>
    <t>%</t>
  </si>
  <si>
    <t>Mano de Obra</t>
  </si>
  <si>
    <t>Plomero Especialista</t>
  </si>
  <si>
    <t>Dia</t>
  </si>
  <si>
    <t>1 Ayudante</t>
  </si>
  <si>
    <t>RD$/UD</t>
  </si>
  <si>
    <t>Tee de 8 pulg x8 SCH-40</t>
  </si>
  <si>
    <t xml:space="preserve">Tee de 8pulg </t>
  </si>
  <si>
    <t>Tee de 8 pulg x4 SCH-40</t>
  </si>
  <si>
    <t>niple de 8 pulg x4 SCH-40</t>
  </si>
  <si>
    <t>Limpieza continua y final</t>
  </si>
  <si>
    <t>Brigada de limpieza (20 hombres)</t>
  </si>
  <si>
    <t>DIA</t>
  </si>
  <si>
    <t>Camion cisterna</t>
  </si>
  <si>
    <t>CARGA Y BOTE MATERIAL - PALA CAT950G</t>
  </si>
  <si>
    <t xml:space="preserve">Rendimiento </t>
  </si>
  <si>
    <t>ML/dia</t>
  </si>
  <si>
    <t>Replanteo y Control Topografico</t>
  </si>
  <si>
    <t>Visita</t>
  </si>
  <si>
    <t>Costo Total/M</t>
  </si>
  <si>
    <t>Costo / M</t>
  </si>
  <si>
    <t>Corte asfalto ambos lados</t>
  </si>
  <si>
    <t>ITBIS 18%</t>
  </si>
  <si>
    <t>Cortadora de Pavimento</t>
  </si>
  <si>
    <t>Capataz</t>
  </si>
  <si>
    <t>Ayudante de Exc.(2H/D)</t>
  </si>
  <si>
    <t xml:space="preserve">Rendimiento Esperado </t>
  </si>
  <si>
    <t>M³/H</t>
  </si>
  <si>
    <t>Costo Total</t>
  </si>
  <si>
    <t>RD$/M2</t>
  </si>
  <si>
    <t>Remocion asfalto</t>
  </si>
  <si>
    <t>Materiales:</t>
  </si>
  <si>
    <t xml:space="preserve">Renta Retropala CAT416E </t>
  </si>
  <si>
    <t xml:space="preserve">Operador Renta Retropala CAT416E </t>
  </si>
  <si>
    <t>Combustible Retropala P/H</t>
  </si>
  <si>
    <t>Rendimiento Esperado 1</t>
  </si>
  <si>
    <t>RD$/M3</t>
  </si>
  <si>
    <t>Bote carpeta asfaltica</t>
  </si>
  <si>
    <t>Equipos.</t>
  </si>
  <si>
    <t>Bote Material - Arranque y primeros 5Kms</t>
  </si>
  <si>
    <t>M3E</t>
  </si>
  <si>
    <t>RD/M3</t>
  </si>
  <si>
    <t>Excavacion de material compacto</t>
  </si>
  <si>
    <t>EXCAVACION EN ROCA CIELO ABIERTO - EXCAVADORA CAT320D MARTILLO</t>
  </si>
  <si>
    <t>M3N</t>
  </si>
  <si>
    <t>Excavación en roca en solar 700M2 x 2M prof.</t>
  </si>
  <si>
    <t xml:space="preserve">Volumen Análisis </t>
  </si>
  <si>
    <t>Excavación Roca Excavadora CAT320D Mart.</t>
  </si>
  <si>
    <t>M3N/HR</t>
  </si>
  <si>
    <t>Excavadora CAT320D Martillo Todo Costo</t>
  </si>
  <si>
    <t>Tranporte Ida y Vuelta interno</t>
  </si>
  <si>
    <t>Suministro de material de asiento Arena</t>
  </si>
  <si>
    <t>Suministro de matrial mina</t>
  </si>
  <si>
    <t>Suministro de material de mina (Sujeto a aprobación por la supervisión)</t>
  </si>
  <si>
    <t>Transporte de Material - Arranque y primeros 5Kms</t>
  </si>
  <si>
    <t>M3/Hr</t>
  </si>
  <si>
    <t>Agua.</t>
  </si>
  <si>
    <t>Gls.</t>
  </si>
  <si>
    <t>Caliche</t>
  </si>
  <si>
    <t>m3s</t>
  </si>
  <si>
    <t>Mano de Obra.</t>
  </si>
  <si>
    <t xml:space="preserve">TNC </t>
  </si>
  <si>
    <t>Rodillo Vibrador (12 Ton)</t>
  </si>
  <si>
    <t>hr</t>
  </si>
  <si>
    <t>Motoniveladora</t>
  </si>
  <si>
    <t>Combustible y lubricantes.</t>
  </si>
  <si>
    <t>Gasolina (0.05*HP*Hr)</t>
  </si>
  <si>
    <t>gls/hr</t>
  </si>
  <si>
    <t>Lubricantes (20% del Combustible).</t>
  </si>
  <si>
    <t>Hr.</t>
  </si>
  <si>
    <t>Costo/Total</t>
  </si>
  <si>
    <t>Bote Material a 5 Kms</t>
  </si>
  <si>
    <t>Excavadora CAT320D cubo Todo Costo(Rend=50M3E/Hora)</t>
  </si>
  <si>
    <t>7.1</t>
  </si>
  <si>
    <t>Suministro e Inst de Tuberia de 8" PVC SDR 26</t>
  </si>
  <si>
    <t>Tuberia 8" PVC SDR-26</t>
  </si>
  <si>
    <t>Ml</t>
  </si>
  <si>
    <t>Confeccion de Orificios de 1/2"</t>
  </si>
  <si>
    <t>REND/DIA</t>
  </si>
  <si>
    <t>Brigada/dia</t>
  </si>
  <si>
    <t>Tubería de 8"</t>
  </si>
  <si>
    <t>ML</t>
  </si>
  <si>
    <t>Suministro e Inst de Tuberia de 6" PVC SDR 26</t>
  </si>
  <si>
    <t>Tuberia 6" PVC SDR-26</t>
  </si>
  <si>
    <t>Tubería de 6"</t>
  </si>
  <si>
    <t>Suministro e Inst de Tuberia de 4" PVC SDR 26</t>
  </si>
  <si>
    <t>Tuberia 4" PVC SDR-26</t>
  </si>
  <si>
    <t>Tubería de 4"</t>
  </si>
  <si>
    <t>Suministro e Inst de Tuberia de 3" PVC SDR 26</t>
  </si>
  <si>
    <t>Tuberia 3" PVC SDR-26</t>
  </si>
  <si>
    <t>Tubería de 3"</t>
  </si>
  <si>
    <t>Prueba Hidrostatica</t>
  </si>
  <si>
    <t>Codo de 8 pulg x8 SCH-40</t>
  </si>
  <si>
    <t xml:space="preserve">Codo de 8pulg </t>
  </si>
  <si>
    <t>Pieza de 4'' SCH-40</t>
  </si>
  <si>
    <t>Valvula de compuerta de 6''</t>
  </si>
  <si>
    <t>Und</t>
  </si>
  <si>
    <t>Costo Total/Ud</t>
  </si>
  <si>
    <t>Costo / Und</t>
  </si>
  <si>
    <t>Valvula de compuerta de 8''</t>
  </si>
  <si>
    <t>Valvula de compuerta de 4''</t>
  </si>
  <si>
    <t>Valvula de compuerta de 3''</t>
  </si>
  <si>
    <t>RIEGO DE IMPRIMACION DE 0.3 GL/M2</t>
  </si>
  <si>
    <t>RENDIMIENTO 3,000 M2</t>
  </si>
  <si>
    <t>1)</t>
  </si>
  <si>
    <t>Barrido a maquina (Barredora)</t>
  </si>
  <si>
    <t>Día</t>
  </si>
  <si>
    <t>Costo/Metro cuadrado</t>
  </si>
  <si>
    <t>2)</t>
  </si>
  <si>
    <t xml:space="preserve">Mojado camión de agua </t>
  </si>
  <si>
    <t>3)</t>
  </si>
  <si>
    <t>Suministro RC-2</t>
  </si>
  <si>
    <t>4)</t>
  </si>
  <si>
    <t>Transporte</t>
  </si>
  <si>
    <t>5)</t>
  </si>
  <si>
    <t>Camión distribuidor</t>
  </si>
  <si>
    <t xml:space="preserve">Costo </t>
  </si>
  <si>
    <t>Rendimiento / m2    10000/3000</t>
  </si>
  <si>
    <t>6)</t>
  </si>
  <si>
    <t>Agregados (arena -gravilla)</t>
  </si>
  <si>
    <t>Rendimiento de un m3 de agregado/ 60 m2</t>
  </si>
  <si>
    <t>7)</t>
  </si>
  <si>
    <t>Compactación</t>
  </si>
  <si>
    <t>Horas</t>
  </si>
  <si>
    <t>costo/Metro cuadrado</t>
  </si>
  <si>
    <t>8)</t>
  </si>
  <si>
    <t>Pala Cargador</t>
  </si>
  <si>
    <t>Hora</t>
  </si>
  <si>
    <t>9)</t>
  </si>
  <si>
    <t>Personal</t>
  </si>
  <si>
    <t>10 Hombres</t>
  </si>
  <si>
    <t>1 Capataz</t>
  </si>
  <si>
    <t>10)</t>
  </si>
  <si>
    <t>Almacenaje</t>
  </si>
  <si>
    <t>11)</t>
  </si>
  <si>
    <t>Calentamiento</t>
  </si>
  <si>
    <t>12)</t>
  </si>
  <si>
    <t>Herramientas</t>
  </si>
  <si>
    <t>13)</t>
  </si>
  <si>
    <t>Kerosene</t>
  </si>
  <si>
    <t>Costo/Metro cuadrado de imprimacion</t>
  </si>
  <si>
    <t>RIEGO DE ADHERENCIA</t>
  </si>
  <si>
    <t xml:space="preserve"> REND. 0,15 GLS / M2</t>
  </si>
  <si>
    <t>Emulsion</t>
  </si>
  <si>
    <t>Gls</t>
  </si>
  <si>
    <t>Aplicacion</t>
  </si>
  <si>
    <t>Costo de M2</t>
  </si>
  <si>
    <t>CARPETA  ASFALTICA       ( E = 2")</t>
  </si>
  <si>
    <t>Suministro</t>
  </si>
  <si>
    <t>Aplicación</t>
  </si>
  <si>
    <t>M3c</t>
  </si>
  <si>
    <t xml:space="preserve">                      costo m3</t>
  </si>
  <si>
    <t>Costo m2</t>
  </si>
  <si>
    <t>TRASPORTE H.A.C</t>
  </si>
  <si>
    <t>Transporte  Asfalto</t>
  </si>
  <si>
    <t>M3*KM</t>
  </si>
  <si>
    <t xml:space="preserve">                       </t>
  </si>
  <si>
    <t>costo de km</t>
  </si>
  <si>
    <t>ACERA EN HORMIGON VIOLINADA E=0.10m - 1:2:4 CON LIGADORA</t>
  </si>
  <si>
    <t xml:space="preserve">Acera en hormigón e=0.10m </t>
  </si>
  <si>
    <t>Vaciado y ligado Hormigón 1:2:4 - 10% desp</t>
  </si>
  <si>
    <t>Preparación superficie - Ayudante AY</t>
  </si>
  <si>
    <t>Mano de obra frotado y violinado</t>
  </si>
  <si>
    <t>CONTEN PULIDO DE h=0.40m - HORMIGON 1:2:4 CON LIGADORA</t>
  </si>
  <si>
    <t>Contén pulido b=0.50 h=0.40m - sección 0.14m2</t>
  </si>
  <si>
    <t>Bote de material a mano camión 6m3</t>
  </si>
  <si>
    <t>Plantillas en plywood 3/4" sum. y confección</t>
  </si>
  <si>
    <t>Madera pino americ. cepillado 10"x1"/20 usos</t>
  </si>
  <si>
    <t>PT</t>
  </si>
  <si>
    <t>Excavación a mano caliche</t>
  </si>
  <si>
    <t>Mano de obra contenes (madera y pulido)</t>
  </si>
  <si>
    <t>PRESUPUESTO ACTUALIZADO</t>
  </si>
  <si>
    <t>Brigada de limpieza (20hombres)</t>
  </si>
  <si>
    <t>DIA/hombre</t>
  </si>
  <si>
    <t>Suministro de material de asiento Arena 8% desp</t>
  </si>
  <si>
    <t>Peon</t>
  </si>
  <si>
    <t>ud</t>
  </si>
  <si>
    <t>Varilla de soldadura ( 1,5 Libs / cordon )</t>
  </si>
  <si>
    <t>lb</t>
  </si>
  <si>
    <t>Motosoldadora(Inc. Combustible y Operador)</t>
  </si>
  <si>
    <t>dia</t>
  </si>
  <si>
    <t>Pintura exposica</t>
  </si>
  <si>
    <t>gl</t>
  </si>
  <si>
    <t>PRESUPUESTO POR EQUILIBRIO ECONOMICO</t>
  </si>
  <si>
    <t>SUB-TOTAL GENERAL PRESUPUESTO BASE+EQUILIBRIO ECONOMICO</t>
  </si>
  <si>
    <t xml:space="preserve">Suministro de material de asiento Arena </t>
  </si>
  <si>
    <t>Siministro de Asfalto</t>
  </si>
  <si>
    <t>precio +itbis</t>
  </si>
  <si>
    <t>SUB-TOTAL GENERAL PRESUPUESTO BASE</t>
  </si>
  <si>
    <t>SUB-TOTAL GENERAL EQUILIBRIO ECONOMICO</t>
  </si>
  <si>
    <t>Trabajador calificado</t>
  </si>
  <si>
    <t>Ayudante</t>
  </si>
  <si>
    <t>Operador 3era</t>
  </si>
  <si>
    <t>Operador 2da</t>
  </si>
  <si>
    <t>Oeprador 1era</t>
  </si>
  <si>
    <t>Maestro</t>
  </si>
  <si>
    <t>Gasolina Premium</t>
  </si>
  <si>
    <t>Gasoil Optimo</t>
  </si>
  <si>
    <t>NO INCLUYE COMBUSTIBLE</t>
  </si>
  <si>
    <t>SI INCUYE OPERADOR</t>
  </si>
  <si>
    <t>ANALISIS DE COSTOS ACTUALIZADOS</t>
  </si>
  <si>
    <t>ANALISIS DE COSTOS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</si>
</sst>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0.000"/>
    <numFmt numFmtId="167" formatCode="_-* #,##0.00\ _€_-;\-* #,##0.00\ _€_-;_-* &quot;-&quot;??\ _€_-;_-@_-"/>
    <numFmt numFmtId="168" formatCode="#,##0.0;\-#,##0.0"/>
    <numFmt numFmtId="169" formatCode="0.0"/>
    <numFmt numFmtId="170" formatCode="#,##0.0_);\(#,##0.0\)"/>
    <numFmt numFmtId="171" formatCode="_(* #,##0.0_);_(* \(#,##0.0\);_(* &quot;-&quot;??_);_(@_)"/>
    <numFmt numFmtId="172" formatCode="0.0%"/>
    <numFmt numFmtId="173" formatCode="&quot;RD$&quot;#,##0.00"/>
    <numFmt numFmtId="174" formatCode="#.0"/>
    <numFmt numFmtId="175" formatCode="_([$RD$-1C0A]* #,##0.00_);_([$RD$-1C0A]* \(#,##0.00\);_([$RD$-1C0A]* &quot;-&quot;??_);_(@_)"/>
    <numFmt numFmtId="176" formatCode="_(* #,##0.000_);_(* \(#,##0.000\);_(* &quot;-&quot;??_);_(@_)"/>
    <numFmt numFmtId="177" formatCode="#,##0.0000000000000"/>
    <numFmt numFmtId="178" formatCode="#,##0.000"/>
    <numFmt numFmtId="179" formatCode="#,##0.000000;[Red]#,##0.000000"/>
    <numFmt numFmtId="180" formatCode="#,##0.000;[Red]#,##0.0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9" fontId="9" fillId="0" borderId="0"/>
    <xf numFmtId="164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529">
    <xf numFmtId="0" fontId="0" fillId="0" borderId="0" xfId="0"/>
    <xf numFmtId="165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0" xfId="3" quotePrefix="1" applyFill="1" applyAlignment="1" applyProtection="1">
      <alignment horizontal="left" vertical="top"/>
      <protection locked="0"/>
    </xf>
    <xf numFmtId="0" fontId="4" fillId="2" borderId="0" xfId="3" applyFill="1" applyAlignment="1" applyProtection="1">
      <alignment vertical="top"/>
      <protection locked="0"/>
    </xf>
    <xf numFmtId="43" fontId="4" fillId="2" borderId="0" xfId="1" quotePrefix="1" applyFont="1" applyFill="1" applyBorder="1" applyAlignment="1" applyProtection="1">
      <alignment horizontal="left"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6" fillId="2" borderId="0" xfId="3" applyFont="1" applyFill="1" applyAlignment="1" applyProtection="1">
      <alignment vertical="top"/>
      <protection locked="0"/>
    </xf>
    <xf numFmtId="0" fontId="7" fillId="2" borderId="0" xfId="3" applyFont="1" applyFill="1" applyAlignment="1" applyProtection="1">
      <alignment vertical="top"/>
      <protection locked="0"/>
    </xf>
    <xf numFmtId="4" fontId="6" fillId="2" borderId="0" xfId="3" applyNumberFormat="1" applyFont="1" applyFill="1" applyAlignment="1" applyProtection="1">
      <alignment vertical="top"/>
      <protection locked="0"/>
    </xf>
    <xf numFmtId="43" fontId="6" fillId="2" borderId="0" xfId="1" applyFont="1" applyFill="1" applyBorder="1" applyAlignment="1" applyProtection="1">
      <alignment vertical="top"/>
      <protection locked="0"/>
    </xf>
    <xf numFmtId="4" fontId="7" fillId="2" borderId="0" xfId="3" applyNumberFormat="1" applyFont="1" applyFill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horizontal="center" vertical="top"/>
      <protection locked="0"/>
    </xf>
    <xf numFmtId="43" fontId="5" fillId="3" borderId="1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/>
      <protection locked="0"/>
    </xf>
    <xf numFmtId="43" fontId="7" fillId="2" borderId="2" xfId="1" applyFont="1" applyFill="1" applyBorder="1" applyAlignment="1" applyProtection="1">
      <alignment horizontal="center" vertical="top"/>
      <protection locked="0"/>
    </xf>
    <xf numFmtId="4" fontId="7" fillId="2" borderId="2" xfId="3" applyNumberFormat="1" applyFont="1" applyFill="1" applyBorder="1" applyAlignment="1" applyProtection="1">
      <alignment horizontal="center" vertical="top"/>
      <protection locked="0"/>
    </xf>
    <xf numFmtId="4" fontId="8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7" applyNumberFormat="1" applyFont="1" applyFill="1" applyBorder="1" applyAlignment="1" applyProtection="1">
      <alignment vertical="top"/>
      <protection locked="0"/>
    </xf>
    <xf numFmtId="4" fontId="4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11" applyNumberFormat="1" applyFont="1" applyFill="1" applyBorder="1" applyAlignment="1" applyProtection="1">
      <alignment horizontal="right" vertical="top"/>
      <protection locked="0"/>
    </xf>
    <xf numFmtId="43" fontId="4" fillId="2" borderId="2" xfId="12" applyFont="1" applyFill="1" applyBorder="1" applyAlignment="1" applyProtection="1">
      <alignment vertical="top"/>
      <protection locked="0"/>
    </xf>
    <xf numFmtId="43" fontId="4" fillId="5" borderId="2" xfId="0" applyNumberFormat="1" applyFont="1" applyFill="1" applyBorder="1" applyAlignment="1" applyProtection="1">
      <alignment vertical="top"/>
      <protection locked="0"/>
    </xf>
    <xf numFmtId="4" fontId="4" fillId="2" borderId="3" xfId="6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165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1" xfId="7" applyNumberFormat="1" applyFont="1" applyFill="1" applyBorder="1" applyAlignment="1" applyProtection="1">
      <alignment horizontal="right" vertical="top"/>
      <protection locked="0"/>
    </xf>
    <xf numFmtId="43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2" xfId="18" applyNumberFormat="1" applyFont="1" applyFill="1" applyBorder="1" applyAlignment="1" applyProtection="1">
      <alignment horizontal="right" vertical="center" wrapText="1"/>
      <protection locked="0"/>
    </xf>
    <xf numFmtId="4" fontId="4" fillId="2" borderId="2" xfId="7" applyNumberFormat="1" applyFont="1" applyFill="1" applyBorder="1" applyAlignment="1" applyProtection="1">
      <alignment horizontal="right" vertical="center"/>
      <protection locked="0"/>
    </xf>
    <xf numFmtId="43" fontId="4" fillId="2" borderId="2" xfId="1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horizontal="right" vertical="top"/>
      <protection locked="0"/>
    </xf>
    <xf numFmtId="165" fontId="4" fillId="2" borderId="2" xfId="20" applyNumberFormat="1" applyFont="1" applyFill="1" applyBorder="1" applyAlignment="1" applyProtection="1">
      <alignment vertical="top"/>
      <protection locked="0"/>
    </xf>
    <xf numFmtId="4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vertical="top"/>
      <protection locked="0"/>
    </xf>
    <xf numFmtId="4" fontId="5" fillId="3" borderId="2" xfId="4" applyNumberFormat="1" applyFont="1" applyFill="1" applyBorder="1" applyAlignment="1" applyProtection="1">
      <alignment vertical="top"/>
      <protection locked="0"/>
    </xf>
    <xf numFmtId="165" fontId="5" fillId="2" borderId="2" xfId="3" applyNumberFormat="1" applyFont="1" applyFill="1" applyBorder="1" applyAlignment="1" applyProtection="1">
      <alignment vertical="top"/>
      <protection locked="0"/>
    </xf>
    <xf numFmtId="43" fontId="5" fillId="3" borderId="3" xfId="1" applyFont="1" applyFill="1" applyBorder="1" applyAlignment="1" applyProtection="1">
      <alignment horizontal="right" vertical="top"/>
      <protection locked="0"/>
    </xf>
    <xf numFmtId="166" fontId="4" fillId="2" borderId="2" xfId="7" applyFont="1" applyFill="1" applyBorder="1" applyAlignment="1" applyProtection="1">
      <alignment vertical="top"/>
      <protection locked="0"/>
    </xf>
    <xf numFmtId="0" fontId="5" fillId="3" borderId="1" xfId="3" applyFont="1" applyFill="1" applyBorder="1" applyAlignment="1">
      <alignment horizontal="center" vertical="top"/>
    </xf>
    <xf numFmtId="4" fontId="5" fillId="3" borderId="1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/>
    </xf>
    <xf numFmtId="4" fontId="5" fillId="2" borderId="2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 wrapText="1"/>
    </xf>
    <xf numFmtId="49" fontId="5" fillId="2" borderId="2" xfId="5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/>
    </xf>
    <xf numFmtId="4" fontId="8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right" vertical="top" wrapText="1"/>
    </xf>
    <xf numFmtId="49" fontId="4" fillId="2" borderId="2" xfId="5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center" vertical="top"/>
    </xf>
    <xf numFmtId="0" fontId="5" fillId="2" borderId="2" xfId="4" applyFont="1" applyFill="1" applyBorder="1" applyAlignment="1">
      <alignment vertical="top" wrapText="1"/>
    </xf>
    <xf numFmtId="4" fontId="4" fillId="2" borderId="2" xfId="4" applyNumberFormat="1" applyFill="1" applyBorder="1" applyAlignment="1">
      <alignment vertical="top"/>
    </xf>
    <xf numFmtId="4" fontId="4" fillId="2" borderId="2" xfId="4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 wrapText="1"/>
    </xf>
    <xf numFmtId="1" fontId="5" fillId="2" borderId="2" xfId="5" applyNumberFormat="1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vertical="top"/>
    </xf>
    <xf numFmtId="169" fontId="4" fillId="2" borderId="2" xfId="5" applyNumberFormat="1" applyFont="1" applyFill="1" applyBorder="1" applyAlignment="1">
      <alignment horizontal="right" vertical="top" wrapText="1"/>
    </xf>
    <xf numFmtId="2" fontId="4" fillId="2" borderId="2" xfId="7" applyNumberFormat="1" applyFont="1" applyFill="1" applyBorder="1" applyAlignment="1" applyProtection="1">
      <alignment vertical="top" wrapText="1"/>
    </xf>
    <xf numFmtId="4" fontId="4" fillId="2" borderId="2" xfId="7" applyNumberFormat="1" applyFont="1" applyFill="1" applyBorder="1" applyAlignment="1" applyProtection="1">
      <alignment vertical="top"/>
    </xf>
    <xf numFmtId="49" fontId="4" fillId="2" borderId="2" xfId="5" applyNumberFormat="1" applyFont="1" applyFill="1" applyBorder="1" applyAlignment="1">
      <alignment vertical="top" wrapText="1"/>
    </xf>
    <xf numFmtId="1" fontId="4" fillId="2" borderId="2" xfId="5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/>
    </xf>
    <xf numFmtId="2" fontId="10" fillId="5" borderId="2" xfId="0" applyNumberFormat="1" applyFont="1" applyFill="1" applyBorder="1" applyAlignment="1">
      <alignment horizontal="center" vertical="top"/>
    </xf>
    <xf numFmtId="0" fontId="4" fillId="2" borderId="2" xfId="3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" fontId="5" fillId="2" borderId="2" xfId="3" applyNumberFormat="1" applyFont="1" applyFill="1" applyBorder="1" applyAlignment="1">
      <alignment vertical="top"/>
    </xf>
    <xf numFmtId="0" fontId="5" fillId="2" borderId="2" xfId="3" applyFont="1" applyFill="1" applyBorder="1" applyAlignment="1">
      <alignment vertical="top"/>
    </xf>
    <xf numFmtId="43" fontId="4" fillId="2" borderId="2" xfId="1" applyFont="1" applyFill="1" applyBorder="1" applyAlignment="1" applyProtection="1">
      <alignment horizontal="center" vertical="top"/>
    </xf>
    <xf numFmtId="1" fontId="4" fillId="2" borderId="2" xfId="3" applyNumberFormat="1" applyFill="1" applyBorder="1" applyAlignment="1">
      <alignment vertical="top"/>
    </xf>
    <xf numFmtId="37" fontId="11" fillId="2" borderId="2" xfId="0" applyNumberFormat="1" applyFont="1" applyFill="1" applyBorder="1" applyAlignment="1">
      <alignment horizontal="right" vertical="top"/>
    </xf>
    <xf numFmtId="0" fontId="5" fillId="2" borderId="2" xfId="10" applyFont="1" applyFill="1" applyBorder="1" applyAlignment="1">
      <alignment horizontal="left" vertical="top" wrapText="1"/>
    </xf>
    <xf numFmtId="43" fontId="10" fillId="2" borderId="2" xfId="1" applyFont="1" applyFill="1" applyBorder="1" applyAlignment="1" applyProtection="1">
      <alignment horizontal="center" vertical="top"/>
    </xf>
    <xf numFmtId="168" fontId="4" fillId="2" borderId="2" xfId="16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43" fontId="10" fillId="2" borderId="3" xfId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top"/>
    </xf>
    <xf numFmtId="4" fontId="15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169" fontId="4" fillId="2" borderId="2" xfId="3" applyNumberFormat="1" applyFill="1" applyBorder="1" applyAlignment="1">
      <alignment vertical="top"/>
    </xf>
    <xf numFmtId="43" fontId="4" fillId="2" borderId="2" xfId="1" applyFont="1" applyFill="1" applyBorder="1" applyAlignment="1" applyProtection="1">
      <alignment horizontal="right" vertical="top"/>
    </xf>
    <xf numFmtId="1" fontId="5" fillId="2" borderId="2" xfId="3" applyNumberFormat="1" applyFont="1" applyFill="1" applyBorder="1" applyAlignment="1">
      <alignment horizontal="right" vertical="top"/>
    </xf>
    <xf numFmtId="0" fontId="4" fillId="2" borderId="2" xfId="3" applyFill="1" applyBorder="1" applyAlignment="1">
      <alignment horizontal="right" vertical="top" wrapText="1"/>
    </xf>
    <xf numFmtId="0" fontId="4" fillId="2" borderId="2" xfId="3" applyFill="1" applyBorder="1" applyAlignment="1">
      <alignment vertical="top" wrapText="1"/>
    </xf>
    <xf numFmtId="0" fontId="4" fillId="2" borderId="2" xfId="3" applyFill="1" applyBorder="1" applyAlignment="1">
      <alignment horizontal="right" vertical="top"/>
    </xf>
    <xf numFmtId="0" fontId="5" fillId="2" borderId="2" xfId="3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right" vertical="top" wrapText="1"/>
    </xf>
    <xf numFmtId="169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/>
    </xf>
    <xf numFmtId="169" fontId="5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 wrapText="1"/>
    </xf>
    <xf numFmtId="0" fontId="4" fillId="2" borderId="2" xfId="14" applyFill="1" applyBorder="1" applyAlignment="1">
      <alignment horizontal="right" vertical="top"/>
    </xf>
    <xf numFmtId="0" fontId="4" fillId="2" borderId="2" xfId="14" applyFill="1" applyBorder="1" applyAlignment="1">
      <alignment horizontal="left" vertical="top"/>
    </xf>
    <xf numFmtId="43" fontId="10" fillId="2" borderId="2" xfId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top" wrapText="1"/>
    </xf>
    <xf numFmtId="165" fontId="4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4" fillId="2" borderId="1" xfId="7" applyNumberFormat="1" applyFont="1" applyFill="1" applyBorder="1" applyAlignment="1" applyProtection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vertical="top" wrapText="1"/>
    </xf>
    <xf numFmtId="0" fontId="4" fillId="2" borderId="2" xfId="17" applyFill="1" applyBorder="1" applyAlignment="1">
      <alignment horizontal="left" vertical="top" wrapText="1"/>
    </xf>
    <xf numFmtId="4" fontId="4" fillId="2" borderId="2" xfId="18" applyNumberFormat="1" applyFont="1" applyFill="1" applyBorder="1" applyAlignment="1" applyProtection="1">
      <alignment horizontal="righ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71" fontId="4" fillId="2" borderId="2" xfId="1" applyNumberFormat="1" applyFont="1" applyFill="1" applyBorder="1" applyAlignment="1" applyProtection="1">
      <alignment horizontal="right" vertical="top" wrapText="1"/>
    </xf>
    <xf numFmtId="43" fontId="4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vertical="top" wrapText="1"/>
    </xf>
    <xf numFmtId="0" fontId="5" fillId="4" borderId="2" xfId="0" applyFont="1" applyFill="1" applyBorder="1" applyAlignment="1">
      <alignment vertical="top" wrapText="1"/>
    </xf>
    <xf numFmtId="43" fontId="4" fillId="2" borderId="2" xfId="1" applyFont="1" applyFill="1" applyBorder="1" applyAlignment="1" applyProtection="1">
      <alignment vertical="top"/>
    </xf>
    <xf numFmtId="4" fontId="4" fillId="2" borderId="2" xfId="3" applyNumberFormat="1" applyFill="1" applyBorder="1" applyAlignment="1">
      <alignment horizontal="right" vertical="top"/>
    </xf>
    <xf numFmtId="2" fontId="4" fillId="4" borderId="2" xfId="1" applyNumberFormat="1" applyFont="1" applyFill="1" applyBorder="1" applyAlignment="1" applyProtection="1">
      <alignment horizontal="center" vertical="top"/>
    </xf>
    <xf numFmtId="4" fontId="4" fillId="2" borderId="2" xfId="0" applyNumberFormat="1" applyFont="1" applyFill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</xf>
    <xf numFmtId="2" fontId="4" fillId="2" borderId="2" xfId="3" applyNumberFormat="1" applyFill="1" applyBorder="1" applyAlignment="1">
      <alignment horizontal="center" vertical="top"/>
    </xf>
    <xf numFmtId="0" fontId="4" fillId="3" borderId="2" xfId="3" applyFill="1" applyBorder="1" applyAlignment="1">
      <alignment vertical="top"/>
    </xf>
    <xf numFmtId="0" fontId="5" fillId="3" borderId="2" xfId="3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horizontal="right" vertical="top"/>
    </xf>
    <xf numFmtId="43" fontId="4" fillId="3" borderId="2" xfId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top"/>
    </xf>
    <xf numFmtId="37" fontId="5" fillId="2" borderId="2" xfId="20" applyNumberFormat="1" applyFont="1" applyFill="1" applyBorder="1" applyAlignment="1">
      <alignment horizontal="center" vertical="top" wrapText="1"/>
    </xf>
    <xf numFmtId="39" fontId="5" fillId="2" borderId="2" xfId="20" applyFont="1" applyFill="1" applyBorder="1" applyAlignment="1">
      <alignment vertical="top" wrapText="1"/>
    </xf>
    <xf numFmtId="4" fontId="4" fillId="2" borderId="2" xfId="21" applyNumberFormat="1" applyFont="1" applyFill="1" applyBorder="1" applyAlignment="1" applyProtection="1">
      <alignment vertical="top"/>
    </xf>
    <xf numFmtId="4" fontId="4" fillId="2" borderId="2" xfId="2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4" fontId="4" fillId="2" borderId="2" xfId="13" applyNumberFormat="1" applyFont="1" applyFill="1" applyBorder="1" applyAlignment="1" applyProtection="1">
      <alignment horizontal="right" vertical="top" wrapText="1"/>
    </xf>
    <xf numFmtId="4" fontId="4" fillId="2" borderId="2" xfId="13" applyNumberFormat="1" applyFont="1" applyFill="1" applyBorder="1" applyAlignment="1" applyProtection="1">
      <alignment horizontal="center" vertical="top"/>
    </xf>
    <xf numFmtId="168" fontId="5" fillId="2" borderId="2" xfId="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justify" vertical="center" wrapText="1"/>
    </xf>
    <xf numFmtId="0" fontId="5" fillId="3" borderId="2" xfId="4" applyFont="1" applyFill="1" applyBorder="1" applyAlignment="1">
      <alignment horizontal="right" vertical="top"/>
    </xf>
    <xf numFmtId="0" fontId="5" fillId="3" borderId="2" xfId="4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vertical="top"/>
    </xf>
    <xf numFmtId="0" fontId="5" fillId="3" borderId="3" xfId="3" applyFont="1" applyFill="1" applyBorder="1" applyAlignment="1">
      <alignment horizontal="center" vertical="top"/>
    </xf>
    <xf numFmtId="165" fontId="4" fillId="3" borderId="3" xfId="3" applyNumberFormat="1" applyFill="1" applyBorder="1" applyAlignment="1">
      <alignment horizontal="right" vertical="top"/>
    </xf>
    <xf numFmtId="165" fontId="4" fillId="3" borderId="3" xfId="3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center"/>
    </xf>
    <xf numFmtId="172" fontId="10" fillId="2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center"/>
    </xf>
    <xf numFmtId="172" fontId="4" fillId="2" borderId="2" xfId="2" applyNumberFormat="1" applyFont="1" applyFill="1" applyBorder="1" applyAlignment="1" applyProtection="1">
      <alignment vertical="top"/>
    </xf>
    <xf numFmtId="0" fontId="4" fillId="4" borderId="2" xfId="0" applyFont="1" applyFill="1" applyBorder="1" applyAlignment="1">
      <alignment horizontal="right" vertical="center" wrapText="1"/>
    </xf>
    <xf numFmtId="10" fontId="4" fillId="2" borderId="2" xfId="2" applyNumberFormat="1" applyFont="1" applyFill="1" applyBorder="1" applyAlignment="1" applyProtection="1">
      <alignment vertical="top"/>
    </xf>
    <xf numFmtId="10" fontId="4" fillId="2" borderId="2" xfId="3" applyNumberFormat="1" applyFill="1" applyBorder="1" applyAlignment="1">
      <alignment horizontal="right" vertical="top"/>
    </xf>
    <xf numFmtId="10" fontId="4" fillId="2" borderId="2" xfId="3" applyNumberFormat="1" applyFill="1" applyBorder="1" applyAlignment="1">
      <alignment horizontal="center" vertical="top"/>
    </xf>
    <xf numFmtId="4" fontId="0" fillId="0" borderId="0" xfId="0" applyNumberFormat="1"/>
    <xf numFmtId="43" fontId="20" fillId="6" borderId="4" xfId="26" applyNumberFormat="1" applyFont="1" applyFill="1" applyBorder="1" applyAlignment="1">
      <alignment horizontal="center" vertical="center" wrapText="1"/>
    </xf>
    <xf numFmtId="43" fontId="21" fillId="3" borderId="4" xfId="26" applyNumberFormat="1" applyFont="1" applyFill="1" applyBorder="1" applyAlignment="1">
      <alignment horizontal="center" vertical="center" wrapText="1"/>
    </xf>
    <xf numFmtId="43" fontId="21" fillId="6" borderId="4" xfId="26" applyNumberFormat="1" applyFont="1" applyFill="1" applyBorder="1" applyAlignment="1">
      <alignment horizontal="center" vertical="center" wrapText="1"/>
    </xf>
    <xf numFmtId="43" fontId="22" fillId="0" borderId="4" xfId="26" applyNumberFormat="1" applyFont="1" applyBorder="1" applyAlignment="1">
      <alignment horizontal="left" vertical="center" wrapText="1"/>
    </xf>
    <xf numFmtId="43" fontId="22" fillId="0" borderId="4" xfId="27" applyFont="1" applyBorder="1" applyAlignment="1">
      <alignment horizontal="center" vertical="center" wrapText="1"/>
    </xf>
    <xf numFmtId="43" fontId="22" fillId="0" borderId="4" xfId="26" applyNumberFormat="1" applyFont="1" applyBorder="1" applyAlignment="1">
      <alignment horizontal="center" vertical="center" wrapText="1"/>
    </xf>
    <xf numFmtId="43" fontId="22" fillId="0" borderId="4" xfId="26" applyNumberFormat="1" applyFont="1" applyBorder="1" applyAlignment="1">
      <alignment horizontal="right" vertical="center" wrapText="1"/>
    </xf>
    <xf numFmtId="43" fontId="22" fillId="0" borderId="4" xfId="27" applyFont="1" applyBorder="1" applyAlignment="1">
      <alignment horizontal="right" vertical="center" wrapText="1"/>
    </xf>
    <xf numFmtId="43" fontId="23" fillId="3" borderId="1" xfId="28" applyNumberFormat="1" applyFont="1" applyFill="1" applyBorder="1" applyAlignment="1">
      <alignment horizontal="center" vertical="center" wrapText="1"/>
    </xf>
    <xf numFmtId="43" fontId="23" fillId="3" borderId="1" xfId="28" applyNumberFormat="1" applyFont="1" applyFill="1" applyBorder="1" applyAlignment="1">
      <alignment horizontal="right" vertical="center" wrapText="1"/>
    </xf>
    <xf numFmtId="43" fontId="24" fillId="0" borderId="0" xfId="28" applyNumberFormat="1" applyFont="1" applyAlignment="1">
      <alignment horizontal="center"/>
    </xf>
    <xf numFmtId="43" fontId="25" fillId="6" borderId="4" xfId="28" applyNumberFormat="1" applyFont="1" applyFill="1" applyBorder="1" applyAlignment="1">
      <alignment horizontal="center" vertical="center" wrapText="1"/>
    </xf>
    <xf numFmtId="43" fontId="20" fillId="6" borderId="4" xfId="26" applyNumberFormat="1" applyFont="1" applyFill="1" applyBorder="1" applyAlignment="1">
      <alignment vertical="center" wrapText="1"/>
    </xf>
    <xf numFmtId="43" fontId="20" fillId="0" borderId="4" xfId="26" applyNumberFormat="1" applyFont="1" applyBorder="1" applyAlignment="1">
      <alignment vertical="center" wrapText="1"/>
    </xf>
    <xf numFmtId="43" fontId="20" fillId="3" borderId="4" xfId="26" applyNumberFormat="1" applyFont="1" applyFill="1" applyBorder="1" applyAlignment="1">
      <alignment horizontal="center" vertical="center" wrapText="1"/>
    </xf>
    <xf numFmtId="43" fontId="26" fillId="0" borderId="4" xfId="25" applyNumberFormat="1" applyFont="1" applyBorder="1" applyAlignment="1">
      <alignment horizontal="left" vertical="center" wrapText="1"/>
    </xf>
    <xf numFmtId="43" fontId="26" fillId="0" borderId="4" xfId="25" applyNumberFormat="1" applyFont="1" applyBorder="1" applyAlignment="1">
      <alignment vertical="center"/>
    </xf>
    <xf numFmtId="43" fontId="26" fillId="0" borderId="4" xfId="25" applyNumberFormat="1" applyFont="1" applyBorder="1" applyAlignment="1">
      <alignment horizontal="center" vertical="center"/>
    </xf>
    <xf numFmtId="43" fontId="26" fillId="0" borderId="4" xfId="25" applyNumberFormat="1" applyFont="1" applyBorder="1" applyAlignment="1">
      <alignment horizontal="right" vertical="center"/>
    </xf>
    <xf numFmtId="43" fontId="26" fillId="0" borderId="4" xfId="26" applyNumberFormat="1" applyFont="1" applyBorder="1" applyAlignment="1">
      <alignment horizontal="right" vertical="center" wrapText="1"/>
    </xf>
    <xf numFmtId="43" fontId="26" fillId="0" borderId="4" xfId="27" applyFont="1" applyBorder="1" applyAlignment="1">
      <alignment horizontal="right" vertical="center" wrapText="1"/>
    </xf>
    <xf numFmtId="43" fontId="25" fillId="0" borderId="7" xfId="28" applyNumberFormat="1" applyFont="1" applyBorder="1" applyAlignment="1">
      <alignment horizontal="center" vertical="center" wrapText="1"/>
    </xf>
    <xf numFmtId="43" fontId="25" fillId="6" borderId="10" xfId="28" applyNumberFormat="1" applyFont="1" applyFill="1" applyBorder="1" applyAlignment="1">
      <alignment horizontal="center" vertical="center" wrapText="1"/>
    </xf>
    <xf numFmtId="43" fontId="25" fillId="6" borderId="10" xfId="28" applyNumberFormat="1" applyFont="1" applyFill="1" applyBorder="1" applyAlignment="1">
      <alignment horizontal="right" vertical="center" wrapText="1"/>
    </xf>
    <xf numFmtId="0" fontId="29" fillId="0" borderId="7" xfId="0" applyFont="1" applyBorder="1" applyAlignment="1">
      <alignment wrapText="1"/>
    </xf>
    <xf numFmtId="2" fontId="29" fillId="0" borderId="8" xfId="0" applyNumberFormat="1" applyFont="1" applyBorder="1" applyAlignment="1">
      <alignment horizontal="center"/>
    </xf>
    <xf numFmtId="173" fontId="29" fillId="0" borderId="8" xfId="0" applyNumberFormat="1" applyFont="1" applyBorder="1" applyAlignment="1">
      <alignment horizontal="center"/>
    </xf>
    <xf numFmtId="0" fontId="31" fillId="0" borderId="0" xfId="0" applyFont="1" applyAlignment="1">
      <alignment wrapText="1"/>
    </xf>
    <xf numFmtId="173" fontId="29" fillId="0" borderId="0" xfId="0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173" fontId="32" fillId="0" borderId="0" xfId="0" applyNumberFormat="1" applyFont="1" applyAlignment="1">
      <alignment horizontal="center"/>
    </xf>
    <xf numFmtId="0" fontId="32" fillId="0" borderId="0" xfId="0" applyFont="1" applyAlignment="1">
      <alignment wrapText="1"/>
    </xf>
    <xf numFmtId="0" fontId="19" fillId="0" borderId="0" xfId="0" applyFont="1"/>
    <xf numFmtId="173" fontId="28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3" borderId="11" xfId="3" applyFont="1" applyFill="1" applyBorder="1" applyAlignment="1">
      <alignment horizontal="center" vertical="top"/>
    </xf>
    <xf numFmtId="0" fontId="5" fillId="3" borderId="12" xfId="3" applyFont="1" applyFill="1" applyBorder="1" applyAlignment="1">
      <alignment horizontal="center" vertical="top"/>
    </xf>
    <xf numFmtId="4" fontId="5" fillId="3" borderId="12" xfId="3" applyNumberFormat="1" applyFont="1" applyFill="1" applyBorder="1" applyAlignment="1">
      <alignment horizontal="center" vertical="top"/>
    </xf>
    <xf numFmtId="43" fontId="5" fillId="3" borderId="12" xfId="1" applyFont="1" applyFill="1" applyBorder="1" applyAlignment="1" applyProtection="1">
      <alignment horizontal="center" vertical="top"/>
      <protection locked="0"/>
    </xf>
    <xf numFmtId="4" fontId="5" fillId="3" borderId="13" xfId="3" applyNumberFormat="1" applyFont="1" applyFill="1" applyBorder="1" applyAlignment="1" applyProtection="1">
      <alignment horizontal="center" vertical="top"/>
      <protection locked="0"/>
    </xf>
    <xf numFmtId="0" fontId="5" fillId="2" borderId="14" xfId="3" applyFont="1" applyFill="1" applyBorder="1" applyAlignment="1">
      <alignment horizontal="center" vertical="top"/>
    </xf>
    <xf numFmtId="4" fontId="5" fillId="2" borderId="15" xfId="3" applyNumberFormat="1" applyFont="1" applyFill="1" applyBorder="1" applyAlignment="1" applyProtection="1">
      <alignment horizontal="center" vertical="top"/>
      <protection locked="0"/>
    </xf>
    <xf numFmtId="4" fontId="7" fillId="2" borderId="15" xfId="3" applyNumberFormat="1" applyFont="1" applyFill="1" applyBorder="1" applyAlignment="1" applyProtection="1">
      <alignment horizontal="center" vertical="top"/>
      <protection locked="0"/>
    </xf>
    <xf numFmtId="37" fontId="5" fillId="2" borderId="14" xfId="0" applyNumberFormat="1" applyFont="1" applyFill="1" applyBorder="1" applyAlignment="1">
      <alignment horizontal="right" vertical="top" wrapText="1"/>
    </xf>
    <xf numFmtId="165" fontId="4" fillId="2" borderId="15" xfId="7" applyNumberFormat="1" applyFont="1" applyFill="1" applyBorder="1" applyAlignment="1" applyProtection="1">
      <alignment vertical="top"/>
      <protection locked="0"/>
    </xf>
    <xf numFmtId="168" fontId="4" fillId="2" borderId="14" xfId="0" applyNumberFormat="1" applyFont="1" applyFill="1" applyBorder="1" applyAlignment="1">
      <alignment horizontal="right" vertical="top" wrapText="1"/>
    </xf>
    <xf numFmtId="165" fontId="4" fillId="2" borderId="15" xfId="11" applyNumberFormat="1" applyFont="1" applyFill="1" applyBorder="1" applyAlignment="1" applyProtection="1">
      <alignment horizontal="right" vertical="top"/>
      <protection locked="0"/>
    </xf>
    <xf numFmtId="1" fontId="5" fillId="2" borderId="14" xfId="5" applyNumberFormat="1" applyFont="1" applyFill="1" applyBorder="1" applyAlignment="1">
      <alignment horizontal="right" vertical="top" wrapText="1"/>
    </xf>
    <xf numFmtId="169" fontId="4" fillId="2" borderId="14" xfId="5" applyNumberFormat="1" applyFont="1" applyFill="1" applyBorder="1" applyAlignment="1">
      <alignment horizontal="right" vertical="top" wrapText="1"/>
    </xf>
    <xf numFmtId="1" fontId="4" fillId="2" borderId="14" xfId="5" applyNumberFormat="1" applyFont="1" applyFill="1" applyBorder="1" applyAlignment="1">
      <alignment horizontal="right" vertical="top" wrapText="1"/>
    </xf>
    <xf numFmtId="0" fontId="11" fillId="5" borderId="14" xfId="0" applyFont="1" applyFill="1" applyBorder="1" applyAlignment="1">
      <alignment horizontal="center" vertical="top" wrapText="1"/>
    </xf>
    <xf numFmtId="43" fontId="4" fillId="5" borderId="15" xfId="0" applyNumberFormat="1" applyFont="1" applyFill="1" applyBorder="1" applyAlignment="1" applyProtection="1">
      <alignment vertical="top"/>
      <protection locked="0"/>
    </xf>
    <xf numFmtId="0" fontId="4" fillId="2" borderId="14" xfId="3" applyFill="1" applyBorder="1" applyAlignment="1">
      <alignment vertical="top"/>
    </xf>
    <xf numFmtId="0" fontId="11" fillId="2" borderId="14" xfId="0" applyFont="1" applyFill="1" applyBorder="1" applyAlignment="1">
      <alignment horizontal="center" vertical="top" wrapText="1"/>
    </xf>
    <xf numFmtId="1" fontId="5" fillId="2" borderId="14" xfId="3" applyNumberFormat="1" applyFont="1" applyFill="1" applyBorder="1" applyAlignment="1">
      <alignment vertical="top"/>
    </xf>
    <xf numFmtId="1" fontId="4" fillId="2" borderId="14" xfId="3" applyNumberFormat="1" applyFill="1" applyBorder="1" applyAlignment="1">
      <alignment vertical="top"/>
    </xf>
    <xf numFmtId="37" fontId="11" fillId="2" borderId="14" xfId="0" applyNumberFormat="1" applyFont="1" applyFill="1" applyBorder="1" applyAlignment="1">
      <alignment horizontal="right" vertical="top"/>
    </xf>
    <xf numFmtId="168" fontId="4" fillId="2" borderId="14" xfId="16" applyNumberFormat="1" applyFont="1" applyFill="1" applyBorder="1" applyAlignment="1">
      <alignment horizontal="right" vertical="top"/>
    </xf>
    <xf numFmtId="0" fontId="11" fillId="2" borderId="14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horizontal="right" vertical="top" wrapText="1"/>
    </xf>
    <xf numFmtId="169" fontId="4" fillId="2" borderId="14" xfId="3" applyNumberFormat="1" applyFill="1" applyBorder="1" applyAlignment="1">
      <alignment vertical="top"/>
    </xf>
    <xf numFmtId="1" fontId="5" fillId="2" borderId="14" xfId="3" applyNumberFormat="1" applyFont="1" applyFill="1" applyBorder="1" applyAlignment="1">
      <alignment horizontal="right" vertical="top"/>
    </xf>
    <xf numFmtId="0" fontId="4" fillId="2" borderId="14" xfId="3" applyFill="1" applyBorder="1" applyAlignment="1">
      <alignment horizontal="right" vertical="top" wrapText="1"/>
    </xf>
    <xf numFmtId="0" fontId="4" fillId="2" borderId="14" xfId="3" applyFill="1" applyBorder="1" applyAlignment="1">
      <alignment horizontal="right" vertical="top"/>
    </xf>
    <xf numFmtId="0" fontId="5" fillId="2" borderId="14" xfId="3" applyFont="1" applyFill="1" applyBorder="1" applyAlignment="1">
      <alignment horizontal="right" vertical="top" wrapText="1"/>
    </xf>
    <xf numFmtId="0" fontId="5" fillId="2" borderId="14" xfId="14" applyFont="1" applyFill="1" applyBorder="1" applyAlignment="1">
      <alignment horizontal="right" vertical="top"/>
    </xf>
    <xf numFmtId="169" fontId="4" fillId="2" borderId="14" xfId="0" applyNumberFormat="1" applyFont="1" applyFill="1" applyBorder="1" applyAlignment="1">
      <alignment horizontal="right" vertical="top" wrapText="1"/>
    </xf>
    <xf numFmtId="169" fontId="4" fillId="2" borderId="16" xfId="0" applyNumberFormat="1" applyFont="1" applyFill="1" applyBorder="1" applyAlignment="1">
      <alignment horizontal="right" vertical="top" wrapText="1"/>
    </xf>
    <xf numFmtId="169" fontId="5" fillId="2" borderId="14" xfId="0" applyNumberFormat="1" applyFont="1" applyFill="1" applyBorder="1" applyAlignment="1">
      <alignment horizontal="right" vertical="top" wrapText="1"/>
    </xf>
    <xf numFmtId="0" fontId="4" fillId="2" borderId="14" xfId="14" applyFill="1" applyBorder="1" applyAlignment="1">
      <alignment horizontal="right" vertical="top"/>
    </xf>
    <xf numFmtId="0" fontId="5" fillId="2" borderId="14" xfId="0" applyFont="1" applyFill="1" applyBorder="1" applyAlignment="1">
      <alignment horizontal="right" vertical="top"/>
    </xf>
    <xf numFmtId="0" fontId="4" fillId="2" borderId="14" xfId="0" applyFont="1" applyFill="1" applyBorder="1" applyAlignment="1">
      <alignment horizontal="right" vertical="top"/>
    </xf>
    <xf numFmtId="0" fontId="11" fillId="2" borderId="14" xfId="0" applyFont="1" applyFill="1" applyBorder="1" applyAlignment="1">
      <alignment horizontal="right" vertical="top" wrapText="1"/>
    </xf>
    <xf numFmtId="0" fontId="4" fillId="2" borderId="17" xfId="0" applyFont="1" applyFill="1" applyBorder="1" applyAlignment="1">
      <alignment horizontal="right" vertical="top"/>
    </xf>
    <xf numFmtId="168" fontId="4" fillId="2" borderId="14" xfId="0" applyNumberFormat="1" applyFont="1" applyFill="1" applyBorder="1" applyAlignment="1">
      <alignment vertical="top" wrapText="1"/>
    </xf>
    <xf numFmtId="170" fontId="4" fillId="2" borderId="14" xfId="0" applyNumberFormat="1" applyFont="1" applyFill="1" applyBorder="1" applyAlignment="1">
      <alignment horizontal="right" vertical="top" wrapText="1"/>
    </xf>
    <xf numFmtId="171" fontId="4" fillId="2" borderId="14" xfId="1" applyNumberFormat="1" applyFont="1" applyFill="1" applyBorder="1" applyAlignment="1" applyProtection="1">
      <alignment horizontal="right" vertical="top" wrapText="1"/>
    </xf>
    <xf numFmtId="0" fontId="5" fillId="2" borderId="14" xfId="0" applyFont="1" applyFill="1" applyBorder="1" applyAlignment="1">
      <alignment horizontal="right" vertical="top" wrapText="1"/>
    </xf>
    <xf numFmtId="0" fontId="4" fillId="3" borderId="14" xfId="3" applyFill="1" applyBorder="1" applyAlignment="1">
      <alignment vertical="top"/>
    </xf>
    <xf numFmtId="43" fontId="4" fillId="3" borderId="15" xfId="1" applyFont="1" applyFill="1" applyBorder="1" applyAlignment="1" applyProtection="1">
      <alignment horizontal="right" vertical="top"/>
      <protection locked="0"/>
    </xf>
    <xf numFmtId="0" fontId="5" fillId="2" borderId="14" xfId="4" applyFont="1" applyFill="1" applyBorder="1" applyAlignment="1">
      <alignment horizontal="center" vertical="top"/>
    </xf>
    <xf numFmtId="37" fontId="5" fillId="2" borderId="14" xfId="20" applyNumberFormat="1" applyFont="1" applyFill="1" applyBorder="1" applyAlignment="1">
      <alignment horizontal="center" vertical="top" wrapText="1"/>
    </xf>
    <xf numFmtId="37" fontId="5" fillId="2" borderId="14" xfId="0" applyNumberFormat="1" applyFont="1" applyFill="1" applyBorder="1" applyAlignment="1">
      <alignment horizontal="right" vertical="top"/>
    </xf>
    <xf numFmtId="168" fontId="5" fillId="2" borderId="14" xfId="0" applyNumberFormat="1" applyFont="1" applyFill="1" applyBorder="1" applyAlignment="1">
      <alignment horizontal="right" vertical="top"/>
    </xf>
    <xf numFmtId="168" fontId="4" fillId="2" borderId="14" xfId="0" applyNumberFormat="1" applyFont="1" applyFill="1" applyBorder="1" applyAlignment="1">
      <alignment horizontal="right" vertical="top"/>
    </xf>
    <xf numFmtId="0" fontId="5" fillId="3" borderId="14" xfId="4" applyFont="1" applyFill="1" applyBorder="1" applyAlignment="1">
      <alignment horizontal="right" vertical="top"/>
    </xf>
    <xf numFmtId="4" fontId="5" fillId="3" borderId="15" xfId="4" applyNumberFormat="1" applyFont="1" applyFill="1" applyBorder="1" applyAlignment="1" applyProtection="1">
      <alignment vertical="top"/>
      <protection locked="0"/>
    </xf>
    <xf numFmtId="165" fontId="5" fillId="2" borderId="15" xfId="3" applyNumberFormat="1" applyFont="1" applyFill="1" applyBorder="1" applyAlignment="1" applyProtection="1">
      <alignment vertical="top"/>
      <protection locked="0"/>
    </xf>
    <xf numFmtId="0" fontId="4" fillId="3" borderId="16" xfId="3" applyFill="1" applyBorder="1" applyAlignment="1">
      <alignment horizontal="right" vertical="top"/>
    </xf>
    <xf numFmtId="4" fontId="5" fillId="3" borderId="15" xfId="3" applyNumberFormat="1" applyFont="1" applyFill="1" applyBorder="1" applyAlignment="1" applyProtection="1">
      <alignment vertical="top"/>
      <protection locked="0"/>
    </xf>
    <xf numFmtId="0" fontId="4" fillId="3" borderId="18" xfId="3" applyFill="1" applyBorder="1" applyAlignment="1">
      <alignment horizontal="right" vertical="top"/>
    </xf>
    <xf numFmtId="0" fontId="5" fillId="3" borderId="19" xfId="3" applyFont="1" applyFill="1" applyBorder="1" applyAlignment="1">
      <alignment horizontal="center" vertical="top"/>
    </xf>
    <xf numFmtId="165" fontId="4" fillId="3" borderId="19" xfId="3" applyNumberFormat="1" applyFill="1" applyBorder="1" applyAlignment="1">
      <alignment horizontal="right" vertical="top"/>
    </xf>
    <xf numFmtId="165" fontId="4" fillId="3" borderId="19" xfId="3" applyNumberFormat="1" applyFill="1" applyBorder="1" applyAlignment="1">
      <alignment horizontal="center" vertical="top"/>
    </xf>
    <xf numFmtId="43" fontId="5" fillId="3" borderId="19" xfId="1" applyFont="1" applyFill="1" applyBorder="1" applyAlignment="1" applyProtection="1">
      <alignment horizontal="right" vertical="top"/>
      <protection locked="0"/>
    </xf>
    <xf numFmtId="4" fontId="5" fillId="3" borderId="20" xfId="3" applyNumberFormat="1" applyFont="1" applyFill="1" applyBorder="1" applyAlignment="1" applyProtection="1">
      <alignment vertical="top"/>
      <protection locked="0"/>
    </xf>
    <xf numFmtId="0" fontId="4" fillId="3" borderId="21" xfId="3" applyFill="1" applyBorder="1" applyAlignment="1">
      <alignment horizontal="right" vertical="top"/>
    </xf>
    <xf numFmtId="0" fontId="5" fillId="3" borderId="22" xfId="3" applyFont="1" applyFill="1" applyBorder="1" applyAlignment="1">
      <alignment horizontal="center" vertical="top"/>
    </xf>
    <xf numFmtId="165" fontId="4" fillId="3" borderId="22" xfId="3" applyNumberFormat="1" applyFill="1" applyBorder="1" applyAlignment="1">
      <alignment horizontal="right" vertical="top"/>
    </xf>
    <xf numFmtId="165" fontId="4" fillId="3" borderId="22" xfId="3" applyNumberFormat="1" applyFill="1" applyBorder="1" applyAlignment="1">
      <alignment horizontal="center" vertical="top"/>
    </xf>
    <xf numFmtId="43" fontId="5" fillId="3" borderId="22" xfId="1" applyFont="1" applyFill="1" applyBorder="1" applyAlignment="1" applyProtection="1">
      <alignment horizontal="right" vertical="top"/>
      <protection locked="0"/>
    </xf>
    <xf numFmtId="4" fontId="5" fillId="3" borderId="13" xfId="3" applyNumberFormat="1" applyFont="1" applyFill="1" applyBorder="1" applyAlignment="1" applyProtection="1">
      <alignment vertical="top"/>
      <protection locked="0"/>
    </xf>
    <xf numFmtId="43" fontId="4" fillId="2" borderId="0" xfId="23" applyFont="1" applyFill="1" applyBorder="1" applyAlignment="1" applyProtection="1">
      <alignment vertical="top"/>
      <protection locked="0"/>
    </xf>
    <xf numFmtId="4" fontId="5" fillId="2" borderId="0" xfId="13" applyNumberFormat="1" applyFont="1" applyFill="1" applyBorder="1" applyAlignment="1" applyProtection="1">
      <alignment horizontal="right" vertical="top" wrapText="1"/>
      <protection locked="0"/>
    </xf>
    <xf numFmtId="0" fontId="4" fillId="2" borderId="11" xfId="3" applyFill="1" applyBorder="1" applyAlignment="1">
      <alignment horizontal="right" vertical="top"/>
    </xf>
    <xf numFmtId="0" fontId="5" fillId="2" borderId="12" xfId="3" applyFont="1" applyFill="1" applyBorder="1" applyAlignment="1">
      <alignment horizontal="center" vertical="top"/>
    </xf>
    <xf numFmtId="165" fontId="4" fillId="2" borderId="12" xfId="3" applyNumberFormat="1" applyFill="1" applyBorder="1" applyAlignment="1">
      <alignment horizontal="right" vertical="top"/>
    </xf>
    <xf numFmtId="165" fontId="4" fillId="2" borderId="12" xfId="3" applyNumberFormat="1" applyFill="1" applyBorder="1" applyAlignment="1">
      <alignment horizontal="center" vertical="top"/>
    </xf>
    <xf numFmtId="43" fontId="5" fillId="2" borderId="12" xfId="1" applyFont="1" applyFill="1" applyBorder="1" applyAlignment="1" applyProtection="1">
      <alignment horizontal="right" vertical="top"/>
      <protection locked="0"/>
    </xf>
    <xf numFmtId="4" fontId="5" fillId="2" borderId="13" xfId="3" applyNumberFormat="1" applyFont="1" applyFill="1" applyBorder="1" applyAlignment="1" applyProtection="1">
      <alignment vertical="top"/>
      <protection locked="0"/>
    </xf>
    <xf numFmtId="171" fontId="10" fillId="2" borderId="14" xfId="23" applyNumberFormat="1" applyFont="1" applyFill="1" applyBorder="1" applyAlignment="1" applyProtection="1">
      <alignment horizontal="right" vertical="top"/>
    </xf>
    <xf numFmtId="0" fontId="4" fillId="2" borderId="15" xfId="0" applyFont="1" applyFill="1" applyBorder="1" applyAlignment="1" applyProtection="1">
      <alignment vertical="top"/>
      <protection locked="0"/>
    </xf>
    <xf numFmtId="43" fontId="4" fillId="2" borderId="15" xfId="23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>
      <alignment vertical="top"/>
    </xf>
    <xf numFmtId="171" fontId="4" fillId="2" borderId="14" xfId="23" applyNumberFormat="1" applyFont="1" applyFill="1" applyBorder="1" applyAlignment="1" applyProtection="1">
      <alignment horizontal="right" vertical="top"/>
    </xf>
    <xf numFmtId="4" fontId="5" fillId="2" borderId="15" xfId="13" applyNumberFormat="1" applyFont="1" applyFill="1" applyBorder="1" applyAlignment="1" applyProtection="1">
      <alignment horizontal="right" vertical="top" wrapText="1"/>
      <protection locked="0"/>
    </xf>
    <xf numFmtId="4" fontId="5" fillId="2" borderId="15" xfId="3" applyNumberFormat="1" applyFont="1" applyFill="1" applyBorder="1" applyAlignment="1" applyProtection="1">
      <alignment vertical="top"/>
      <protection locked="0"/>
    </xf>
    <xf numFmtId="0" fontId="4" fillId="3" borderId="18" xfId="3" applyFill="1" applyBorder="1" applyAlignment="1">
      <alignment vertical="top"/>
    </xf>
    <xf numFmtId="0" fontId="11" fillId="3" borderId="19" xfId="0" applyFont="1" applyFill="1" applyBorder="1" applyAlignment="1">
      <alignment horizontal="right" vertical="top"/>
    </xf>
    <xf numFmtId="10" fontId="4" fillId="3" borderId="19" xfId="3" applyNumberFormat="1" applyFill="1" applyBorder="1" applyAlignment="1">
      <alignment horizontal="right" vertical="top"/>
    </xf>
    <xf numFmtId="10" fontId="4" fillId="3" borderId="19" xfId="3" applyNumberFormat="1" applyFill="1" applyBorder="1" applyAlignment="1">
      <alignment horizontal="center" vertical="top"/>
    </xf>
    <xf numFmtId="43" fontId="4" fillId="3" borderId="19" xfId="1" applyFont="1" applyFill="1" applyBorder="1" applyAlignment="1" applyProtection="1">
      <alignment horizontal="right" vertical="top"/>
      <protection locked="0"/>
    </xf>
    <xf numFmtId="0" fontId="4" fillId="2" borderId="18" xfId="3" applyFill="1" applyBorder="1" applyAlignment="1">
      <alignment horizontal="right" vertical="top"/>
    </xf>
    <xf numFmtId="0" fontId="5" fillId="2" borderId="19" xfId="3" applyFont="1" applyFill="1" applyBorder="1" applyAlignment="1">
      <alignment horizontal="center" vertical="top"/>
    </xf>
    <xf numFmtId="165" fontId="4" fillId="2" borderId="19" xfId="3" applyNumberFormat="1" applyFill="1" applyBorder="1" applyAlignment="1">
      <alignment horizontal="right" vertical="top"/>
    </xf>
    <xf numFmtId="165" fontId="4" fillId="2" borderId="19" xfId="3" applyNumberFormat="1" applyFill="1" applyBorder="1" applyAlignment="1">
      <alignment horizontal="center" vertical="top"/>
    </xf>
    <xf numFmtId="43" fontId="5" fillId="2" borderId="19" xfId="1" applyFont="1" applyFill="1" applyBorder="1" applyAlignment="1" applyProtection="1">
      <alignment horizontal="right" vertical="top"/>
      <protection locked="0"/>
    </xf>
    <xf numFmtId="4" fontId="5" fillId="2" borderId="20" xfId="3" applyNumberFormat="1" applyFont="1" applyFill="1" applyBorder="1" applyAlignment="1" applyProtection="1">
      <alignment vertical="top"/>
      <protection locked="0"/>
    </xf>
    <xf numFmtId="43" fontId="23" fillId="3" borderId="4" xfId="28" applyNumberFormat="1" applyFont="1" applyFill="1" applyBorder="1" applyAlignment="1">
      <alignment horizontal="center" vertical="center" wrapText="1"/>
    </xf>
    <xf numFmtId="0" fontId="5" fillId="0" borderId="0" xfId="0" applyFont="1"/>
    <xf numFmtId="43" fontId="21" fillId="2" borderId="4" xfId="26" applyNumberFormat="1" applyFont="1" applyFill="1" applyBorder="1" applyAlignment="1">
      <alignment horizontal="center" vertical="center" wrapText="1"/>
    </xf>
    <xf numFmtId="171" fontId="21" fillId="2" borderId="4" xfId="26" applyNumberFormat="1" applyFont="1" applyFill="1" applyBorder="1" applyAlignment="1">
      <alignment horizontal="center" vertical="center" wrapText="1"/>
    </xf>
    <xf numFmtId="43" fontId="22" fillId="2" borderId="4" xfId="26" applyNumberFormat="1" applyFont="1" applyFill="1" applyBorder="1" applyAlignment="1">
      <alignment horizontal="left" vertical="center" wrapText="1"/>
    </xf>
    <xf numFmtId="43" fontId="22" fillId="2" borderId="4" xfId="27" applyFont="1" applyFill="1" applyBorder="1" applyAlignment="1">
      <alignment horizontal="center" vertical="center" wrapText="1"/>
    </xf>
    <xf numFmtId="43" fontId="22" fillId="2" borderId="4" xfId="26" applyNumberFormat="1" applyFont="1" applyFill="1" applyBorder="1" applyAlignment="1">
      <alignment horizontal="center" vertical="center" wrapText="1"/>
    </xf>
    <xf numFmtId="43" fontId="22" fillId="2" borderId="4" xfId="26" applyNumberFormat="1" applyFont="1" applyFill="1" applyBorder="1" applyAlignment="1">
      <alignment horizontal="right" vertical="center" wrapText="1"/>
    </xf>
    <xf numFmtId="43" fontId="22" fillId="2" borderId="4" xfId="27" applyFont="1" applyFill="1" applyBorder="1" applyAlignment="1">
      <alignment horizontal="right" vertical="center" wrapText="1"/>
    </xf>
    <xf numFmtId="43" fontId="23" fillId="2" borderId="4" xfId="28" applyNumberFormat="1" applyFont="1" applyFill="1" applyBorder="1" applyAlignment="1">
      <alignment horizontal="center" vertical="center" wrapText="1"/>
    </xf>
    <xf numFmtId="43" fontId="23" fillId="2" borderId="1" xfId="28" applyNumberFormat="1" applyFont="1" applyFill="1" applyBorder="1" applyAlignment="1">
      <alignment horizontal="center" vertical="center" wrapText="1"/>
    </xf>
    <xf numFmtId="43" fontId="23" fillId="2" borderId="1" xfId="28" applyNumberFormat="1" applyFont="1" applyFill="1" applyBorder="1" applyAlignment="1">
      <alignment horizontal="right" vertical="center" wrapText="1"/>
    </xf>
    <xf numFmtId="43" fontId="24" fillId="2" borderId="0" xfId="28" applyNumberFormat="1" applyFont="1" applyFill="1" applyAlignment="1">
      <alignment horizontal="center"/>
    </xf>
    <xf numFmtId="43" fontId="25" fillId="2" borderId="4" xfId="28" applyNumberFormat="1" applyFont="1" applyFill="1" applyBorder="1" applyAlignment="1">
      <alignment horizontal="center" vertical="center" wrapText="1"/>
    </xf>
    <xf numFmtId="43" fontId="22" fillId="2" borderId="0" xfId="26" applyNumberFormat="1" applyFont="1" applyFill="1" applyAlignment="1">
      <alignment horizontal="left" vertical="center" wrapText="1"/>
    </xf>
    <xf numFmtId="43" fontId="22" fillId="2" borderId="0" xfId="27" applyFont="1" applyFill="1" applyBorder="1" applyAlignment="1">
      <alignment horizontal="center" vertical="center" wrapText="1"/>
    </xf>
    <xf numFmtId="43" fontId="22" fillId="2" borderId="0" xfId="26" applyNumberFormat="1" applyFont="1" applyFill="1" applyAlignment="1">
      <alignment horizontal="center" vertical="center" wrapText="1"/>
    </xf>
    <xf numFmtId="43" fontId="22" fillId="2" borderId="0" xfId="26" applyNumberFormat="1" applyFont="1" applyFill="1" applyAlignment="1">
      <alignment horizontal="right" vertical="center" wrapText="1"/>
    </xf>
    <xf numFmtId="43" fontId="22" fillId="2" borderId="0" xfId="27" applyFont="1" applyFill="1" applyBorder="1" applyAlignment="1">
      <alignment horizontal="right" vertical="center" wrapText="1"/>
    </xf>
    <xf numFmtId="0" fontId="33" fillId="0" borderId="4" xfId="0" applyFont="1" applyBorder="1" applyAlignment="1">
      <alignment wrapText="1"/>
    </xf>
    <xf numFmtId="0" fontId="33" fillId="0" borderId="4" xfId="0" applyFont="1" applyBorder="1" applyAlignment="1">
      <alignment horizontal="center"/>
    </xf>
    <xf numFmtId="0" fontId="33" fillId="0" borderId="7" xfId="0" applyFont="1" applyBorder="1" applyAlignment="1">
      <alignment wrapText="1"/>
    </xf>
    <xf numFmtId="43" fontId="33" fillId="0" borderId="8" xfId="1" applyFont="1" applyBorder="1" applyAlignment="1">
      <alignment horizontal="center"/>
    </xf>
    <xf numFmtId="2" fontId="33" fillId="0" borderId="8" xfId="0" applyNumberFormat="1" applyFont="1" applyBorder="1" applyAlignment="1">
      <alignment horizontal="center"/>
    </xf>
    <xf numFmtId="173" fontId="33" fillId="0" borderId="8" xfId="0" applyNumberFormat="1" applyFont="1" applyBorder="1" applyAlignment="1">
      <alignment horizontal="center"/>
    </xf>
    <xf numFmtId="173" fontId="34" fillId="0" borderId="9" xfId="0" applyNumberFormat="1" applyFont="1" applyBorder="1" applyAlignment="1">
      <alignment horizontal="center"/>
    </xf>
    <xf numFmtId="0" fontId="35" fillId="0" borderId="0" xfId="0" applyFont="1" applyAlignment="1">
      <alignment wrapText="1"/>
    </xf>
    <xf numFmtId="43" fontId="33" fillId="0" borderId="0" xfId="1" applyFont="1" applyAlignment="1">
      <alignment horizontal="center"/>
    </xf>
    <xf numFmtId="2" fontId="33" fillId="0" borderId="0" xfId="0" applyNumberFormat="1" applyFont="1" applyAlignment="1">
      <alignment horizontal="center"/>
    </xf>
    <xf numFmtId="173" fontId="33" fillId="0" borderId="0" xfId="0" applyNumberFormat="1" applyFont="1" applyAlignment="1">
      <alignment horizontal="center"/>
    </xf>
    <xf numFmtId="173" fontId="34" fillId="0" borderId="0" xfId="0" applyNumberFormat="1" applyFont="1" applyAlignment="1">
      <alignment horizontal="center"/>
    </xf>
    <xf numFmtId="0" fontId="36" fillId="0" borderId="0" xfId="0" applyFont="1" applyAlignment="1">
      <alignment wrapText="1"/>
    </xf>
    <xf numFmtId="43" fontId="35" fillId="0" borderId="0" xfId="1" applyFont="1" applyAlignment="1">
      <alignment horizontal="center"/>
    </xf>
    <xf numFmtId="2" fontId="35" fillId="0" borderId="0" xfId="0" applyNumberFormat="1" applyFont="1" applyAlignment="1">
      <alignment horizontal="center"/>
    </xf>
    <xf numFmtId="2" fontId="35" fillId="0" borderId="0" xfId="0" applyNumberFormat="1" applyFont="1" applyAlignment="1">
      <alignment horizontal="left"/>
    </xf>
    <xf numFmtId="173" fontId="35" fillId="0" borderId="0" xfId="0" applyNumberFormat="1" applyFont="1" applyAlignment="1">
      <alignment horizontal="center"/>
    </xf>
    <xf numFmtId="0" fontId="33" fillId="0" borderId="0" xfId="0" applyFont="1" applyAlignment="1">
      <alignment wrapText="1"/>
    </xf>
    <xf numFmtId="43" fontId="20" fillId="3" borderId="1" xfId="26" applyNumberFormat="1" applyFont="1" applyFill="1" applyBorder="1" applyAlignment="1">
      <alignment horizontal="left" vertical="center" wrapText="1"/>
    </xf>
    <xf numFmtId="43" fontId="20" fillId="3" borderId="1" xfId="26" applyNumberFormat="1" applyFont="1" applyFill="1" applyBorder="1" applyAlignment="1">
      <alignment horizontal="center" vertical="center" wrapText="1"/>
    </xf>
    <xf numFmtId="43" fontId="20" fillId="6" borderId="1" xfId="26" applyNumberFormat="1" applyFont="1" applyFill="1" applyBorder="1" applyAlignment="1">
      <alignment horizontal="center" vertical="center" wrapText="1"/>
    </xf>
    <xf numFmtId="43" fontId="21" fillId="3" borderId="7" xfId="26" applyNumberFormat="1" applyFont="1" applyFill="1" applyBorder="1" applyAlignment="1">
      <alignment horizontal="center" vertical="center" wrapText="1"/>
    </xf>
    <xf numFmtId="43" fontId="26" fillId="0" borderId="21" xfId="25" applyNumberFormat="1" applyFont="1" applyBorder="1" applyAlignment="1">
      <alignment horizontal="left" vertical="center"/>
    </xf>
    <xf numFmtId="43" fontId="26" fillId="0" borderId="22" xfId="25" applyNumberFormat="1" applyFont="1" applyBorder="1" applyAlignment="1">
      <alignment vertical="center"/>
    </xf>
    <xf numFmtId="43" fontId="26" fillId="0" borderId="22" xfId="25" applyNumberFormat="1" applyFont="1" applyBorder="1" applyAlignment="1">
      <alignment horizontal="center" vertical="center"/>
    </xf>
    <xf numFmtId="43" fontId="26" fillId="0" borderId="22" xfId="25" applyNumberFormat="1" applyFont="1" applyBorder="1" applyAlignment="1">
      <alignment horizontal="right" vertical="center"/>
    </xf>
    <xf numFmtId="43" fontId="26" fillId="0" borderId="22" xfId="26" applyNumberFormat="1" applyFont="1" applyBorder="1" applyAlignment="1">
      <alignment horizontal="right" vertical="center" wrapText="1"/>
    </xf>
    <xf numFmtId="43" fontId="26" fillId="0" borderId="23" xfId="27" applyFont="1" applyBorder="1" applyAlignment="1">
      <alignment horizontal="right" vertical="center" wrapText="1"/>
    </xf>
    <xf numFmtId="43" fontId="38" fillId="0" borderId="0" xfId="28" applyNumberFormat="1" applyFont="1"/>
    <xf numFmtId="43" fontId="26" fillId="0" borderId="3" xfId="25" applyNumberFormat="1" applyFont="1" applyBorder="1" applyAlignment="1">
      <alignment vertical="center"/>
    </xf>
    <xf numFmtId="43" fontId="26" fillId="0" borderId="3" xfId="25" applyNumberFormat="1" applyFont="1" applyBorder="1" applyAlignment="1">
      <alignment horizontal="center" vertical="center"/>
    </xf>
    <xf numFmtId="43" fontId="26" fillId="0" borderId="3" xfId="25" applyNumberFormat="1" applyFont="1" applyBorder="1" applyAlignment="1">
      <alignment horizontal="right" vertical="center"/>
    </xf>
    <xf numFmtId="43" fontId="26" fillId="0" borderId="3" xfId="26" applyNumberFormat="1" applyFont="1" applyBorder="1" applyAlignment="1">
      <alignment horizontal="right" vertical="center" wrapText="1"/>
    </xf>
    <xf numFmtId="43" fontId="25" fillId="0" borderId="24" xfId="28" applyNumberFormat="1" applyFont="1" applyBorder="1" applyAlignment="1">
      <alignment horizontal="center" vertical="center" wrapText="1"/>
    </xf>
    <xf numFmtId="175" fontId="20" fillId="0" borderId="3" xfId="27" applyNumberFormat="1" applyFont="1" applyFill="1" applyBorder="1" applyAlignment="1">
      <alignment horizontal="right" vertical="center" wrapText="1"/>
    </xf>
    <xf numFmtId="43" fontId="20" fillId="5" borderId="4" xfId="25" applyNumberFormat="1" applyFont="1" applyFill="1" applyBorder="1" applyAlignment="1">
      <alignment horizontal="left" vertical="center"/>
    </xf>
    <xf numFmtId="43" fontId="25" fillId="0" borderId="0" xfId="28" applyNumberFormat="1" applyFont="1" applyAlignment="1">
      <alignment horizontal="center" vertical="center" wrapText="1"/>
    </xf>
    <xf numFmtId="175" fontId="20" fillId="0" borderId="4" xfId="27" applyNumberFormat="1" applyFont="1" applyBorder="1" applyAlignment="1">
      <alignment horizontal="right" vertical="center" wrapText="1"/>
    </xf>
    <xf numFmtId="43" fontId="20" fillId="7" borderId="4" xfId="25" quotePrefix="1" applyNumberFormat="1" applyFont="1" applyFill="1" applyBorder="1" applyAlignment="1">
      <alignment horizontal="left" vertical="center"/>
    </xf>
    <xf numFmtId="43" fontId="26" fillId="0" borderId="4" xfId="25" quotePrefix="1" applyNumberFormat="1" applyFont="1" applyBorder="1" applyAlignment="1">
      <alignment horizontal="center" vertical="center"/>
    </xf>
    <xf numFmtId="43" fontId="39" fillId="0" borderId="25" xfId="29" applyNumberFormat="1" applyFont="1" applyBorder="1" applyAlignment="1">
      <alignment wrapText="1"/>
    </xf>
    <xf numFmtId="43" fontId="26" fillId="0" borderId="4" xfId="25" applyNumberFormat="1" applyFont="1" applyBorder="1" applyAlignment="1" applyProtection="1">
      <alignment horizontal="right" vertical="center"/>
      <protection locked="0"/>
    </xf>
    <xf numFmtId="43" fontId="20" fillId="7" borderId="4" xfId="25" applyNumberFormat="1" applyFont="1" applyFill="1" applyBorder="1" applyAlignment="1">
      <alignment horizontal="left" vertical="center"/>
    </xf>
    <xf numFmtId="43" fontId="39" fillId="0" borderId="26" xfId="29" applyNumberFormat="1" applyFont="1" applyBorder="1"/>
    <xf numFmtId="0" fontId="26" fillId="0" borderId="4" xfId="25" applyFont="1" applyBorder="1" applyAlignment="1">
      <alignment vertical="center"/>
    </xf>
    <xf numFmtId="176" fontId="26" fillId="0" borderId="4" xfId="25" applyNumberFormat="1" applyFont="1" applyBorder="1" applyAlignment="1">
      <alignment vertical="center"/>
    </xf>
    <xf numFmtId="43" fontId="26" fillId="0" borderId="1" xfId="26" applyNumberFormat="1" applyFont="1" applyBorder="1" applyAlignment="1">
      <alignment horizontal="right" vertical="center" wrapText="1"/>
    </xf>
    <xf numFmtId="43" fontId="26" fillId="0" borderId="1" xfId="27" applyFont="1" applyBorder="1" applyAlignment="1">
      <alignment horizontal="right" vertical="center" wrapText="1"/>
    </xf>
    <xf numFmtId="43" fontId="23" fillId="8" borderId="7" xfId="28" applyNumberFormat="1" applyFont="1" applyFill="1" applyBorder="1" applyAlignment="1">
      <alignment horizontal="center" vertical="center" wrapText="1"/>
    </xf>
    <xf numFmtId="43" fontId="25" fillId="8" borderId="10" xfId="28" applyNumberFormat="1" applyFont="1" applyFill="1" applyBorder="1" applyAlignment="1">
      <alignment horizontal="center" vertical="center" wrapText="1"/>
    </xf>
    <xf numFmtId="43" fontId="25" fillId="8" borderId="10" xfId="28" applyNumberFormat="1" applyFont="1" applyFill="1" applyBorder="1" applyAlignment="1">
      <alignment horizontal="right" vertical="center" wrapText="1"/>
    </xf>
    <xf numFmtId="43" fontId="25" fillId="6" borderId="4" xfId="26" applyNumberFormat="1" applyFont="1" applyFill="1" applyBorder="1" applyAlignment="1">
      <alignment horizontal="center" vertical="center" wrapText="1"/>
    </xf>
    <xf numFmtId="171" fontId="21" fillId="3" borderId="4" xfId="26" applyNumberFormat="1" applyFont="1" applyFill="1" applyBorder="1" applyAlignment="1">
      <alignment horizontal="center" vertical="center" wrapText="1"/>
    </xf>
    <xf numFmtId="43" fontId="26" fillId="0" borderId="4" xfId="25" applyNumberFormat="1" applyFont="1" applyBorder="1" applyAlignment="1">
      <alignment horizontal="center" vertical="center" wrapText="1"/>
    </xf>
    <xf numFmtId="43" fontId="26" fillId="0" borderId="4" xfId="19" applyNumberFormat="1" applyFont="1" applyBorder="1" applyAlignment="1">
      <alignment horizontal="center" vertical="center"/>
    </xf>
    <xf numFmtId="43" fontId="26" fillId="0" borderId="4" xfId="26" applyNumberFormat="1" applyFont="1" applyBorder="1" applyAlignment="1">
      <alignment horizontal="center" vertical="center" wrapText="1"/>
    </xf>
    <xf numFmtId="43" fontId="26" fillId="0" borderId="4" xfId="27" applyFont="1" applyBorder="1" applyAlignment="1">
      <alignment horizontal="center" vertical="center" wrapText="1"/>
    </xf>
    <xf numFmtId="43" fontId="26" fillId="0" borderId="4" xfId="19" applyNumberFormat="1" applyFont="1" applyFill="1" applyBorder="1" applyAlignment="1">
      <alignment horizontal="center" vertical="center"/>
    </xf>
    <xf numFmtId="43" fontId="25" fillId="3" borderId="4" xfId="28" applyNumberFormat="1" applyFont="1" applyFill="1" applyBorder="1" applyAlignment="1">
      <alignment horizontal="center" vertical="center" wrapText="1"/>
    </xf>
    <xf numFmtId="43" fontId="25" fillId="3" borderId="4" xfId="28" applyNumberFormat="1" applyFont="1" applyFill="1" applyBorder="1" applyAlignment="1">
      <alignment horizontal="right" vertical="center" wrapText="1"/>
    </xf>
    <xf numFmtId="43" fontId="37" fillId="3" borderId="4" xfId="26" applyNumberFormat="1" applyFont="1" applyFill="1" applyBorder="1" applyAlignment="1">
      <alignment horizontal="center" vertical="center" wrapText="1"/>
    </xf>
    <xf numFmtId="43" fontId="26" fillId="0" borderId="4" xfId="25" applyNumberFormat="1" applyFont="1" applyBorder="1"/>
    <xf numFmtId="0" fontId="26" fillId="0" borderId="4" xfId="26" applyFont="1" applyBorder="1" applyAlignment="1">
      <alignment horizontal="left" vertical="center" wrapText="1"/>
    </xf>
    <xf numFmtId="9" fontId="26" fillId="0" borderId="4" xfId="30" applyFont="1" applyBorder="1" applyAlignment="1">
      <alignment horizontal="center" vertical="center" wrapText="1"/>
    </xf>
    <xf numFmtId="0" fontId="26" fillId="0" borderId="4" xfId="26" applyFont="1" applyBorder="1" applyAlignment="1">
      <alignment horizontal="center" vertical="center" wrapText="1"/>
    </xf>
    <xf numFmtId="173" fontId="26" fillId="0" borderId="4" xfId="26" applyNumberFormat="1" applyFont="1" applyBorder="1" applyAlignment="1">
      <alignment horizontal="right" vertical="center" wrapText="1"/>
    </xf>
    <xf numFmtId="173" fontId="26" fillId="0" borderId="4" xfId="27" applyNumberFormat="1" applyFont="1" applyBorder="1" applyAlignment="1">
      <alignment horizontal="right" vertical="center" wrapText="1"/>
    </xf>
    <xf numFmtId="43" fontId="25" fillId="9" borderId="4" xfId="28" applyNumberFormat="1" applyFont="1" applyFill="1" applyBorder="1" applyAlignment="1">
      <alignment horizontal="center" vertical="center" wrapText="1"/>
    </xf>
    <xf numFmtId="173" fontId="25" fillId="9" borderId="4" xfId="28" applyNumberFormat="1" applyFont="1" applyFill="1" applyBorder="1" applyAlignment="1">
      <alignment horizontal="right" vertical="center" wrapText="1"/>
    </xf>
    <xf numFmtId="173" fontId="25" fillId="6" borderId="4" xfId="28" applyNumberFormat="1" applyFont="1" applyFill="1" applyBorder="1" applyAlignment="1">
      <alignment horizontal="right" vertical="center" wrapText="1"/>
    </xf>
    <xf numFmtId="43" fontId="20" fillId="8" borderId="7" xfId="26" applyNumberFormat="1" applyFont="1" applyFill="1" applyBorder="1" applyAlignment="1">
      <alignment horizontal="left" vertical="center" wrapText="1"/>
    </xf>
    <xf numFmtId="43" fontId="20" fillId="8" borderId="8" xfId="26" applyNumberFormat="1" applyFont="1" applyFill="1" applyBorder="1" applyAlignment="1">
      <alignment horizontal="center" vertical="center" wrapText="1"/>
    </xf>
    <xf numFmtId="43" fontId="20" fillId="8" borderId="9" xfId="26" applyNumberFormat="1" applyFont="1" applyFill="1" applyBorder="1" applyAlignment="1">
      <alignment horizontal="center" vertical="center" wrapText="1"/>
    </xf>
    <xf numFmtId="43" fontId="26" fillId="8" borderId="4" xfId="26" applyNumberFormat="1" applyFont="1" applyFill="1" applyBorder="1" applyAlignment="1">
      <alignment horizontal="center" vertical="center" wrapText="1"/>
    </xf>
    <xf numFmtId="167" fontId="40" fillId="0" borderId="4" xfId="11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2" fontId="40" fillId="0" borderId="4" xfId="0" applyNumberFormat="1" applyFont="1" applyBorder="1" applyAlignment="1">
      <alignment horizontal="center" vertical="center"/>
    </xf>
    <xf numFmtId="43" fontId="20" fillId="8" borderId="4" xfId="26" applyNumberFormat="1" applyFont="1" applyFill="1" applyBorder="1" applyAlignment="1">
      <alignment horizontal="center" vertical="center" wrapText="1"/>
    </xf>
    <xf numFmtId="43" fontId="41" fillId="0" borderId="0" xfId="28" applyNumberFormat="1" applyFont="1"/>
    <xf numFmtId="43" fontId="41" fillId="0" borderId="0" xfId="28" applyNumberFormat="1" applyFont="1" applyAlignment="1">
      <alignment horizontal="center"/>
    </xf>
    <xf numFmtId="43" fontId="26" fillId="0" borderId="4" xfId="25" applyNumberFormat="1" applyFont="1" applyBorder="1" applyAlignment="1">
      <alignment wrapText="1"/>
    </xf>
    <xf numFmtId="43" fontId="26" fillId="0" borderId="4" xfId="19" applyNumberFormat="1" applyFont="1" applyBorder="1"/>
    <xf numFmtId="43" fontId="26" fillId="0" borderId="4" xfId="19" applyNumberFormat="1" applyFont="1" applyFill="1" applyBorder="1"/>
    <xf numFmtId="43" fontId="26" fillId="0" borderId="4" xfId="26" applyNumberFormat="1" applyFont="1" applyBorder="1" applyAlignment="1">
      <alignment horizontal="left" vertical="center" wrapText="1"/>
    </xf>
    <xf numFmtId="43" fontId="25" fillId="6" borderId="0" xfId="28" applyNumberFormat="1" applyFont="1" applyFill="1" applyAlignment="1">
      <alignment horizontal="center" vertical="center" wrapText="1"/>
    </xf>
    <xf numFmtId="173" fontId="25" fillId="6" borderId="0" xfId="28" applyNumberFormat="1" applyFont="1" applyFill="1" applyAlignment="1">
      <alignment horizontal="right" vertical="center" wrapText="1"/>
    </xf>
    <xf numFmtId="173" fontId="33" fillId="0" borderId="9" xfId="0" applyNumberFormat="1" applyFont="1" applyBorder="1" applyAlignment="1">
      <alignment horizontal="center"/>
    </xf>
    <xf numFmtId="2" fontId="40" fillId="0" borderId="4" xfId="0" applyNumberFormat="1" applyFont="1" applyBorder="1" applyAlignment="1">
      <alignment horizontal="right" vertical="center"/>
    </xf>
    <xf numFmtId="43" fontId="41" fillId="0" borderId="0" xfId="28" applyNumberFormat="1" applyFont="1" applyAlignment="1">
      <alignment horizontal="center" vertical="center"/>
    </xf>
    <xf numFmtId="2" fontId="26" fillId="0" borderId="4" xfId="26" applyNumberFormat="1" applyFont="1" applyBorder="1" applyAlignment="1">
      <alignment horizontal="center" vertical="center" wrapText="1"/>
    </xf>
    <xf numFmtId="0" fontId="20" fillId="8" borderId="4" xfId="26" applyFont="1" applyFill="1" applyBorder="1" applyAlignment="1">
      <alignment horizontal="left" vertical="center" wrapText="1"/>
    </xf>
    <xf numFmtId="0" fontId="20" fillId="8" borderId="4" xfId="26" applyFont="1" applyFill="1" applyBorder="1" applyAlignment="1">
      <alignment horizontal="center" vertical="center" wrapText="1"/>
    </xf>
    <xf numFmtId="2" fontId="26" fillId="0" borderId="4" xfId="27" applyNumberFormat="1" applyFont="1" applyBorder="1" applyAlignment="1">
      <alignment horizontal="center" vertical="center" wrapText="1"/>
    </xf>
    <xf numFmtId="0" fontId="20" fillId="8" borderId="7" xfId="26" applyFont="1" applyFill="1" applyBorder="1" applyAlignment="1">
      <alignment horizontal="left" vertical="center" wrapText="1"/>
    </xf>
    <xf numFmtId="0" fontId="20" fillId="8" borderId="8" xfId="26" applyFont="1" applyFill="1" applyBorder="1" applyAlignment="1">
      <alignment horizontal="center" vertical="center" wrapText="1"/>
    </xf>
    <xf numFmtId="0" fontId="20" fillId="8" borderId="9" xfId="26" applyFont="1" applyFill="1" applyBorder="1" applyAlignment="1">
      <alignment horizontal="center" vertical="center" wrapText="1"/>
    </xf>
    <xf numFmtId="4" fontId="26" fillId="0" borderId="4" xfId="27" applyNumberFormat="1" applyFont="1" applyBorder="1" applyAlignment="1">
      <alignment horizontal="center" vertical="center" wrapText="1"/>
    </xf>
    <xf numFmtId="167" fontId="40" fillId="0" borderId="4" xfId="11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2" fontId="40" fillId="0" borderId="4" xfId="0" applyNumberFormat="1" applyFont="1" applyBorder="1" applyAlignment="1">
      <alignment horizontal="right"/>
    </xf>
    <xf numFmtId="43" fontId="26" fillId="8" borderId="4" xfId="26" applyNumberFormat="1" applyFont="1" applyFill="1" applyBorder="1" applyAlignment="1">
      <alignment horizontal="left" vertical="center" wrapText="1"/>
    </xf>
    <xf numFmtId="43" fontId="19" fillId="2" borderId="4" xfId="15" applyNumberFormat="1" applyFont="1" applyFill="1" applyBorder="1" applyAlignment="1">
      <alignment vertical="center" wrapText="1"/>
    </xf>
    <xf numFmtId="43" fontId="19" fillId="2" borderId="4" xfId="15" applyNumberFormat="1" applyFont="1" applyFill="1" applyBorder="1" applyAlignment="1">
      <alignment horizontal="center" vertical="center" wrapText="1"/>
    </xf>
    <xf numFmtId="43" fontId="42" fillId="2" borderId="4" xfId="25" applyNumberFormat="1" applyFont="1" applyFill="1" applyBorder="1" applyAlignment="1">
      <alignment horizontal="left" vertical="center" wrapText="1"/>
    </xf>
    <xf numFmtId="43" fontId="42" fillId="2" borderId="4" xfId="25" applyNumberFormat="1" applyFont="1" applyFill="1" applyBorder="1" applyAlignment="1">
      <alignment vertical="center"/>
    </xf>
    <xf numFmtId="43" fontId="42" fillId="2" borderId="4" xfId="25" applyNumberFormat="1" applyFont="1" applyFill="1" applyBorder="1" applyAlignment="1">
      <alignment horizontal="center" vertical="center"/>
    </xf>
    <xf numFmtId="43" fontId="42" fillId="2" borderId="4" xfId="25" applyNumberFormat="1" applyFont="1" applyFill="1" applyBorder="1" applyAlignment="1">
      <alignment horizontal="right" vertical="center"/>
    </xf>
    <xf numFmtId="43" fontId="42" fillId="2" borderId="4" xfId="15" applyNumberFormat="1" applyFont="1" applyFill="1" applyBorder="1" applyAlignment="1">
      <alignment horizontal="right" vertical="center" wrapText="1"/>
    </xf>
    <xf numFmtId="166" fontId="42" fillId="2" borderId="4" xfId="7" applyFont="1" applyFill="1" applyBorder="1" applyAlignment="1">
      <alignment horizontal="right" vertical="center" wrapText="1"/>
    </xf>
    <xf numFmtId="43" fontId="27" fillId="2" borderId="7" xfId="28" applyNumberFormat="1" applyFont="1" applyFill="1" applyBorder="1" applyAlignment="1">
      <alignment horizontal="center" vertical="center" wrapText="1"/>
    </xf>
    <xf numFmtId="43" fontId="27" fillId="2" borderId="10" xfId="28" applyNumberFormat="1" applyFont="1" applyFill="1" applyBorder="1" applyAlignment="1">
      <alignment horizontal="center" vertical="center" wrapText="1"/>
    </xf>
    <xf numFmtId="43" fontId="27" fillId="2" borderId="10" xfId="28" applyNumberFormat="1" applyFont="1" applyFill="1" applyBorder="1" applyAlignment="1">
      <alignment horizontal="right" vertical="center" wrapText="1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42" fillId="0" borderId="4" xfId="0" applyFont="1" applyBorder="1" applyAlignment="1">
      <alignment horizontal="left"/>
    </xf>
    <xf numFmtId="0" fontId="42" fillId="0" borderId="4" xfId="0" applyFont="1" applyBorder="1" applyAlignment="1">
      <alignment horizontal="center"/>
    </xf>
    <xf numFmtId="173" fontId="28" fillId="0" borderId="4" xfId="0" applyNumberFormat="1" applyFont="1" applyBorder="1" applyAlignment="1">
      <alignment horizontal="center"/>
    </xf>
    <xf numFmtId="2" fontId="28" fillId="0" borderId="4" xfId="0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Alignment="1">
      <alignment horizontal="center"/>
    </xf>
    <xf numFmtId="2" fontId="28" fillId="0" borderId="7" xfId="0" applyNumberFormat="1" applyFont="1" applyBorder="1" applyAlignment="1">
      <alignment horizontal="center"/>
    </xf>
    <xf numFmtId="43" fontId="21" fillId="3" borderId="4" xfId="26" applyNumberFormat="1" applyFont="1" applyFill="1" applyBorder="1" applyAlignment="1">
      <alignment horizontal="right" vertical="center" wrapText="1" indent="3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10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10" borderId="0" xfId="0" applyFont="1" applyFill="1"/>
    <xf numFmtId="0" fontId="19" fillId="0" borderId="0" xfId="0" applyFont="1" applyAlignment="1">
      <alignment horizontal="center"/>
    </xf>
    <xf numFmtId="173" fontId="30" fillId="0" borderId="9" xfId="0" applyNumberFormat="1" applyFont="1" applyBorder="1" applyAlignment="1">
      <alignment horizontal="center"/>
    </xf>
    <xf numFmtId="0" fontId="29" fillId="0" borderId="27" xfId="0" applyFont="1" applyBorder="1" applyAlignment="1">
      <alignment wrapText="1"/>
    </xf>
    <xf numFmtId="2" fontId="29" fillId="0" borderId="7" xfId="0" applyNumberFormat="1" applyFon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0" fontId="29" fillId="0" borderId="0" xfId="0" applyFont="1" applyAlignment="1">
      <alignment wrapText="1"/>
    </xf>
    <xf numFmtId="43" fontId="25" fillId="0" borderId="10" xfId="28" applyNumberFormat="1" applyFont="1" applyBorder="1" applyAlignment="1">
      <alignment horizontal="center" vertical="center" wrapText="1"/>
    </xf>
    <xf numFmtId="175" fontId="20" fillId="0" borderId="28" xfId="27" applyNumberFormat="1" applyFont="1" applyFill="1" applyBorder="1" applyAlignment="1">
      <alignment horizontal="right" vertical="center" wrapText="1"/>
    </xf>
    <xf numFmtId="165" fontId="0" fillId="0" borderId="0" xfId="0" applyNumberFormat="1"/>
    <xf numFmtId="43" fontId="0" fillId="0" borderId="0" xfId="0" applyNumberFormat="1"/>
    <xf numFmtId="43" fontId="0" fillId="0" borderId="0" xfId="1" applyFont="1"/>
    <xf numFmtId="43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73" fontId="0" fillId="0" borderId="0" xfId="0" applyNumberFormat="1"/>
    <xf numFmtId="177" fontId="0" fillId="0" borderId="0" xfId="0" applyNumberFormat="1"/>
    <xf numFmtId="0" fontId="8" fillId="0" borderId="0" xfId="0" applyFont="1" applyAlignment="1">
      <alignment horizontal="center"/>
    </xf>
    <xf numFmtId="43" fontId="35" fillId="0" borderId="0" xfId="1" applyFont="1" applyFill="1" applyAlignment="1">
      <alignment horizontal="center"/>
    </xf>
    <xf numFmtId="0" fontId="10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10" fillId="0" borderId="2" xfId="0" applyNumberFormat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2" xfId="6" applyNumberFormat="1" applyFont="1" applyFill="1" applyBorder="1" applyAlignment="1" applyProtection="1">
      <alignment vertical="top"/>
      <protection locked="0"/>
    </xf>
    <xf numFmtId="165" fontId="4" fillId="0" borderId="2" xfId="11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168" fontId="4" fillId="0" borderId="2" xfId="0" applyNumberFormat="1" applyFont="1" applyFill="1" applyBorder="1" applyAlignment="1">
      <alignment vertical="top" wrapText="1"/>
    </xf>
    <xf numFmtId="0" fontId="4" fillId="0" borderId="2" xfId="17" applyFill="1" applyBorder="1" applyAlignment="1">
      <alignment horizontal="left" vertical="top" wrapText="1"/>
    </xf>
    <xf numFmtId="4" fontId="4" fillId="0" borderId="2" xfId="18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" fontId="4" fillId="0" borderId="2" xfId="18" applyNumberFormat="1" applyFont="1" applyFill="1" applyBorder="1" applyAlignment="1" applyProtection="1">
      <alignment horizontal="right" vertical="center" wrapText="1"/>
      <protection locked="0"/>
    </xf>
    <xf numFmtId="178" fontId="5" fillId="3" borderId="20" xfId="3" applyNumberFormat="1" applyFont="1" applyFill="1" applyBorder="1" applyAlignment="1" applyProtection="1">
      <alignment vertical="top"/>
      <protection locked="0"/>
    </xf>
    <xf numFmtId="179" fontId="0" fillId="0" borderId="0" xfId="0" applyNumberFormat="1"/>
    <xf numFmtId="43" fontId="4" fillId="3" borderId="2" xfId="1" applyNumberFormat="1" applyFont="1" applyFill="1" applyBorder="1" applyAlignment="1" applyProtection="1">
      <alignment horizontal="right" vertical="top"/>
      <protection locked="0"/>
    </xf>
    <xf numFmtId="43" fontId="4" fillId="3" borderId="15" xfId="1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wrapText="1"/>
    </xf>
    <xf numFmtId="43" fontId="1" fillId="0" borderId="0" xfId="1" applyFont="1" applyAlignment="1">
      <alignment horizontal="center"/>
    </xf>
    <xf numFmtId="2" fontId="1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180" fontId="0" fillId="0" borderId="0" xfId="0" applyNumberFormat="1"/>
    <xf numFmtId="180" fontId="4" fillId="2" borderId="15" xfId="23" applyNumberFormat="1" applyFont="1" applyFill="1" applyBorder="1" applyAlignment="1" applyProtection="1">
      <alignment vertical="top"/>
      <protection locked="0"/>
    </xf>
    <xf numFmtId="165" fontId="0" fillId="0" borderId="0" xfId="1" applyNumberFormat="1" applyFont="1"/>
    <xf numFmtId="4" fontId="4" fillId="0" borderId="0" xfId="0" applyNumberFormat="1" applyFont="1"/>
    <xf numFmtId="0" fontId="4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9" fillId="2" borderId="0" xfId="3" applyFont="1" applyFill="1" applyAlignment="1" applyProtection="1">
      <alignment horizontal="center" vertical="top"/>
      <protection locked="0"/>
    </xf>
    <xf numFmtId="43" fontId="20" fillId="6" borderId="5" xfId="26" applyNumberFormat="1" applyFont="1" applyFill="1" applyBorder="1" applyAlignment="1">
      <alignment horizontal="center" vertical="center" wrapText="1"/>
    </xf>
    <xf numFmtId="43" fontId="20" fillId="6" borderId="6" xfId="26" applyNumberFormat="1" applyFont="1" applyFill="1" applyBorder="1" applyAlignment="1">
      <alignment horizontal="center" vertical="center" wrapText="1"/>
    </xf>
    <xf numFmtId="43" fontId="23" fillId="2" borderId="4" xfId="28" applyNumberFormat="1" applyFont="1" applyFill="1" applyBorder="1" applyAlignment="1">
      <alignment horizontal="center" vertical="center" wrapText="1"/>
    </xf>
    <xf numFmtId="43" fontId="37" fillId="3" borderId="5" xfId="26" applyNumberFormat="1" applyFont="1" applyFill="1" applyBorder="1" applyAlignment="1">
      <alignment horizontal="center" vertical="center" wrapText="1"/>
    </xf>
    <xf numFmtId="43" fontId="37" fillId="3" borderId="6" xfId="26" applyNumberFormat="1" applyFont="1" applyFill="1" applyBorder="1" applyAlignment="1">
      <alignment horizontal="center" vertical="center" wrapText="1"/>
    </xf>
    <xf numFmtId="43" fontId="23" fillId="8" borderId="4" xfId="28" applyNumberFormat="1" applyFont="1" applyFill="1" applyBorder="1" applyAlignment="1">
      <alignment horizontal="center" vertical="center" wrapText="1"/>
    </xf>
    <xf numFmtId="43" fontId="20" fillId="3" borderId="7" xfId="26" applyNumberFormat="1" applyFont="1" applyFill="1" applyBorder="1" applyAlignment="1">
      <alignment horizontal="center" vertical="center" wrapText="1"/>
    </xf>
    <xf numFmtId="43" fontId="20" fillId="3" borderId="8" xfId="26" applyNumberFormat="1" applyFont="1" applyFill="1" applyBorder="1" applyAlignment="1">
      <alignment horizontal="center" vertical="center" wrapText="1"/>
    </xf>
    <xf numFmtId="43" fontId="20" fillId="3" borderId="9" xfId="26" applyNumberFormat="1" applyFont="1" applyFill="1" applyBorder="1" applyAlignment="1">
      <alignment horizontal="center" vertical="center" wrapText="1"/>
    </xf>
    <xf numFmtId="43" fontId="25" fillId="0" borderId="4" xfId="28" applyNumberFormat="1" applyFont="1" applyBorder="1" applyAlignment="1">
      <alignment horizontal="center" vertical="center" wrapText="1"/>
    </xf>
    <xf numFmtId="43" fontId="25" fillId="3" borderId="4" xfId="28" applyNumberFormat="1" applyFont="1" applyFill="1" applyBorder="1" applyAlignment="1">
      <alignment horizontal="center" vertical="center" wrapText="1"/>
    </xf>
    <xf numFmtId="43" fontId="23" fillId="3" borderId="4" xfId="28" applyNumberFormat="1" applyFont="1" applyFill="1" applyBorder="1" applyAlignment="1">
      <alignment horizontal="center" vertical="center" wrapText="1"/>
    </xf>
    <xf numFmtId="0" fontId="20" fillId="8" borderId="7" xfId="26" applyFont="1" applyFill="1" applyBorder="1" applyAlignment="1">
      <alignment horizontal="center" vertical="center" wrapText="1"/>
    </xf>
    <xf numFmtId="0" fontId="20" fillId="8" borderId="8" xfId="26" applyFont="1" applyFill="1" applyBorder="1" applyAlignment="1">
      <alignment horizontal="center" vertical="center" wrapText="1"/>
    </xf>
    <xf numFmtId="0" fontId="20" fillId="8" borderId="9" xfId="26" applyFont="1" applyFill="1" applyBorder="1" applyAlignment="1">
      <alignment horizontal="center" vertical="center" wrapText="1"/>
    </xf>
    <xf numFmtId="43" fontId="25" fillId="9" borderId="4" xfId="28" applyNumberFormat="1" applyFont="1" applyFill="1" applyBorder="1" applyAlignment="1">
      <alignment horizontal="center" vertical="center" wrapText="1"/>
    </xf>
    <xf numFmtId="43" fontId="27" fillId="2" borderId="4" xfId="28" applyNumberFormat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2">
    <cellStyle name="Millares" xfId="1" builtinId="3"/>
    <cellStyle name="Millares 10 2" xfId="11" xr:uid="{00000000-0005-0000-0000-000001000000}"/>
    <cellStyle name="Millares 11 2" xfId="19" xr:uid="{00000000-0005-0000-0000-000002000000}"/>
    <cellStyle name="Millares 15" xfId="8" xr:uid="{00000000-0005-0000-0000-000003000000}"/>
    <cellStyle name="Millares 2" xfId="31" xr:uid="{00000000-0005-0000-0000-000004000000}"/>
    <cellStyle name="Millares 2 2" xfId="7" xr:uid="{00000000-0005-0000-0000-000005000000}"/>
    <cellStyle name="Millares 2 2 2 2" xfId="12" xr:uid="{00000000-0005-0000-0000-000006000000}"/>
    <cellStyle name="Millares 2 2 2 2 2" xfId="27" xr:uid="{00000000-0005-0000-0000-000007000000}"/>
    <cellStyle name="Millares 3 3" xfId="6" xr:uid="{00000000-0005-0000-0000-000008000000}"/>
    <cellStyle name="Millares 4" xfId="23" xr:uid="{00000000-0005-0000-0000-000009000000}"/>
    <cellStyle name="Millares 5 2" xfId="9" xr:uid="{00000000-0005-0000-0000-00000A000000}"/>
    <cellStyle name="Millares 5 3" xfId="13" xr:uid="{00000000-0005-0000-0000-00000B000000}"/>
    <cellStyle name="Millares 5 3 2" xfId="18" xr:uid="{00000000-0005-0000-0000-00000C000000}"/>
    <cellStyle name="Millares 6 2" xfId="22" xr:uid="{00000000-0005-0000-0000-00000D000000}"/>
    <cellStyle name="Millares_PRESUPUESTO" xfId="21" xr:uid="{00000000-0005-0000-0000-00000E000000}"/>
    <cellStyle name="Normal" xfId="0" builtinId="0"/>
    <cellStyle name="Normal 10" xfId="3" xr:uid="{00000000-0005-0000-0000-000010000000}"/>
    <cellStyle name="Normal 11 2" xfId="25" xr:uid="{00000000-0005-0000-0000-000011000000}"/>
    <cellStyle name="Normal 2 2" xfId="15" xr:uid="{00000000-0005-0000-0000-000012000000}"/>
    <cellStyle name="Normal 2 2 2" xfId="26" xr:uid="{00000000-0005-0000-0000-000013000000}"/>
    <cellStyle name="Normal 2 3" xfId="24" xr:uid="{00000000-0005-0000-0000-000014000000}"/>
    <cellStyle name="Normal 3 2 2" xfId="29" xr:uid="{00000000-0005-0000-0000-000015000000}"/>
    <cellStyle name="Normal 4 2" xfId="28" xr:uid="{00000000-0005-0000-0000-000016000000}"/>
    <cellStyle name="Normal 5" xfId="10" xr:uid="{00000000-0005-0000-0000-000017000000}"/>
    <cellStyle name="Normal 5 2 2" xfId="17" xr:uid="{00000000-0005-0000-0000-000018000000}"/>
    <cellStyle name="Normal_158-09 TERMINACION AC. LA GINA" xfId="16" xr:uid="{00000000-0005-0000-0000-000019000000}"/>
    <cellStyle name="Normal_BOQ-ALC-RED-MCRISTI-QAQC_VINCI PRESUPUESTO UNIFICADO  LOS  ALCANTARILLADOS SANITARIOS PARA INAPA 02.09.11" xfId="14" xr:uid="{00000000-0005-0000-0000-00001A000000}"/>
    <cellStyle name="Normal_Hoja1" xfId="5" xr:uid="{00000000-0005-0000-0000-00001B000000}"/>
    <cellStyle name="Normal_Presupuesto" xfId="20" xr:uid="{00000000-0005-0000-0000-00001C000000}"/>
    <cellStyle name="Normal_Presupuesto Terminaciones Edificio Mantenimiento Nave I " xfId="4" xr:uid="{00000000-0005-0000-0000-00001D000000}"/>
    <cellStyle name="Porcentaje" xfId="2" builtinId="5"/>
    <cellStyle name="Porcentaje 3" xfId="30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714500" y="2504122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714500" y="2887027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714500" y="2667952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1" name="Text Box 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2" name="Text Box 9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4" name="Text Box 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6" name="Text Box 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81" name="Text Box 8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82" name="Text Box 9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83" name="Text Box 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84" name="Text Box 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085" name="Text Box 8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086" name="Text Box 9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087" name="Text Box 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088" name="Text Box 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89" name="Text Box 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90" name="Text Box 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91" name="Text Box 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92" name="Text Box 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93" name="Text Box 8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94" name="Text Box 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095" name="Text Box 8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096" name="Text Box 9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7" name="Text Box 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8" name="Text Box 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1" name="Text Box 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2" name="Text Box 9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3" name="Text Box 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4" name="Text Box 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6" name="Text Box 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7" name="Text Box 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8" name="Text Box 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9" name="Text Box 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10" name="Text Box 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2" name="Text Box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3" name="Text Box 8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4" name="Text Box 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7" name="Text Box 8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8" name="Text Box 9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9" name="Text Box 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0" name="Text Box 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4" name="Text Box 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5" name="Text Box 8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6" name="Text Box 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7" name="Text Box 8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8" name="Text Box 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0" name="Text Box 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1" name="Text Box 8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2" name="Text Box 9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3" name="Text Box 8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4" name="Text Box 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5" name="Text Box 8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6" name="Text Box 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7" name="Text Box 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8" name="Text Box 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9" name="Text Box 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0" name="Text Box 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1" name="Text Box 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2" name="Text Box 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5" name="Text Box 8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6" name="Text Box 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7" name="Text Box 8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8" name="Text Box 9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9" name="Text Box 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50" name="Text Box 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3" name="Text Box 8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4" name="Text Box 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5" name="Text Box 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6" name="Text Box 9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7" name="Text Box 8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8" name="Text Box 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7" name="Text Box 8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8" name="Text Box 9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9" name="Text Box 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0" name="Text Box 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1" name="Text Box 8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2" name="Text Box 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3" name="Text Box 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4" name="Text Box 9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5" name="Text Box 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6" name="Text Box 9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8" name="Text Box 9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1" name="Text Box 8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2" name="Text Box 9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4" name="Text Box 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5" name="Text Box 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6" name="Text Box 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9" name="Text Box 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0" name="Text Box 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1" name="Text Box 8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2" name="Text Box 9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93" name="Text Box 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94" name="Text Box 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6" name="Text Box 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7" name="Text Box 8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8" name="Text Box 9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199" name="Text Box 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0" name="Text Box 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3" name="Text Box 8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4" name="Text Box 9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05" name="Text Box 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06" name="Text Box 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07" name="Text Box 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08" name="Text Box 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11" name="Text Box 8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12" name="Text Box 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14" name="Text Box 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15" name="Text Box 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16" name="Text Box 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17" name="Text Box 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18" name="Text Box 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19" name="Text Box 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20" name="Text Box 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1" name="Text Box 8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2" name="Text Box 9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3" name="Text Box 8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4" name="Text Box 9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7" name="Text Box 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8" name="Text Box 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9" name="Text Box 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0" name="Text Box 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1" name="Text Box 8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2" name="Text Box 9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3" name="Text Box 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4" name="Text Box 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5" name="Text Box 8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6" name="Text Box 9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8" name="Text Box 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0" name="Text Box 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1" name="Text Box 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2" name="Text Box 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3" name="Text Box 8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4" name="Text Box 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5" name="Text Box 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6" name="Text Box 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0" name="Text Box 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1" name="Text Box 8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2" name="Text Box 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6" name="Text Box 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7" name="Text Box 8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8" name="Text Box 9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9" name="Text Box 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0" name="Text Box 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1" name="Text Box 8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2" name="Text Box 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3" name="Text Box 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4" name="Text Box 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6" name="Text Box 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8" name="Text Box 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1" name="Text Box 8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2" name="Text Box 9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3" name="Text Box 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4" name="Text Box 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5" name="Text Box 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6" name="Text Box 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7" name="Text Box 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8" name="Text Box 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79" name="Text Box 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80" name="Text Box 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81" name="Text Box 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82" name="Text Box 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83" name="Text Box 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84" name="Text Box 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86" name="Text Box 9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87" name="Text Box 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88" name="Text Box 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89" name="Text Box 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90" name="Text Box 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93" name="Text Box 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94" name="Text Box 9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5" name="Text Box 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6" name="Text Box 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7" name="Text Box 8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8" name="Text Box 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99" name="Text Box 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0" name="Text Box 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1" name="Text Box 8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2" name="Text Box 9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3" name="Text Box 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4" name="Text Box 9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5" name="Text Box 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6" name="Text Box 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7" name="Text Box 8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8" name="Text Box 9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09" name="Text Box 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0" name="Text Box 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1" name="Text Box 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2" name="Text Box 9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5" name="Text Box 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6" name="Text Box 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7" name="Text Box 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8" name="Text Box 9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9" name="Text Box 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0" name="Text Box 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2" name="Text Box 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3" name="Text Box 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4" name="Text Box 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5" name="Text Box 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6" name="Text Box 9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7" name="Text Box 8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8" name="Text Box 9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29" name="Text Box 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0" name="Text Box 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1" name="Text Box 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2" name="Text Box 9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3" name="Text Box 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4" name="Text Box 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7" name="Text Box 8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8" name="Text Box 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0" name="Text Box 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1" name="Text Box 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2" name="Text Box 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3" name="Text Box 8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4" name="Text Box 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6" name="Text Box 9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47" name="Text Box 8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48" name="Text Box 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9" name="Text Box 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50" name="Text Box 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51" name="Text Box 8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52" name="Text Box 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53" name="Text Box 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54" name="Text Box 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55" name="Text Box 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56" name="Text Box 9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59" name="Text Box 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60" name="Text Box 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1" name="Text Box 8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2" name="Text Box 9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64" name="Text Box 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65" name="Text Box 8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66" name="Text Box 9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67" name="Text Box 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68" name="Text Box 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9" name="Text Box 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0" name="Text Box 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3" name="Text Box 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4" name="Text Box 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5" name="Text Box 8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6" name="Text Box 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8" name="Text Box 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81" name="Text Box 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82" name="Text Box 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83" name="Text Box 8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84" name="Text Box 9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385" name="Text Box 8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386" name="Text Box 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87" name="Text Box 8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88" name="Text Box 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89" name="Text Box 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90" name="Text Box 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92" name="Text Box 9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394" name="Text Box 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5" name="Text Box 8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6" name="Text Box 9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7" name="Text Box 8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8" name="Text Box 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0" name="Text Box 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3" name="Text Box 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4" name="Text Box 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5" name="Text Box 8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6" name="Text Box 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07" name="Text Box 8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08" name="Text Box 9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9" name="Text Box 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10" name="Text Box 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12" name="Text Box 9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13" name="Text Box 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14" name="Text Box 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15" name="Text Box 8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16" name="Text Box 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417" name="Text Box 8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418" name="Text Box 9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28" name="Text Box 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29" name="Text Box 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0" name="Text Box 8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1" name="Text Box 9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3" name="Text Box 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4" name="Text Box 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5" name="Text Box 9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6" name="Cuadro de texto 4765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7" name="Cuadro de texto 4765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8" name="Cuadro de texto 4765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9" name="Cuadro de texto 4765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0" name="Cuadro de texto 4765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1" name="Cuadro de texto 4765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2" name="Cuadro de texto 4765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3" name="Cuadro de texto 4765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4" name="Cuadro de texto 4766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5" name="Cuadro de texto 4766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6" name="Cuadro de texto 4766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7" name="Cuadro de texto 4766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8" name="Cuadro de texto 476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9" name="Cuadro de texto 4766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50" name="Cuadro de texto 4766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51" name="Cuadro de texto 4766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2" name="Cuadro de texto 4766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3" name="Cuadro de texto 4766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4" name="Cuadro de texto 4767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5" name="Cuadro de texto 4767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56" name="Cuadro de texto 4767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57" name="Cuadro de texto 4767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8" name="Cuadro de texto 4767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9" name="Cuadro de texto 4767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60" name="Cuadro de texto 4767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61" name="Cuadro de texto 476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62" name="Cuadro de texto 4767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63" name="Cuadro de texto 4767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64" name="Cuadro de texto 4768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65" name="Cuadro de texto 4768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466" name="Cuadro de texto 4768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467" name="Cuadro de texto 4768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468" name="Cuadro de texto 4768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469" name="Cuadro de texto 4768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70" name="Cuadro de texto 4768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71" name="Cuadro de texto 4768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72" name="Cuadro de texto 4768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73" name="Cuadro de texto 4768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74" name="Cuadro de texto 4769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75" name="Cuadro de texto 476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476" name="Cuadro de texto 476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477" name="Cuadro de texto 476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78" name="Cuadro de texto 476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79" name="Cuadro de texto 476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0" name="Cuadro de texto 476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1" name="Cuadro de texto 476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2" name="Cuadro de texto 476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3" name="Cuadro de texto 476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4" name="Cuadro de texto 477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5" name="Cuadro de texto 477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6" name="Cuadro de texto 4770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7" name="Cuadro de texto 4770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8" name="Cuadro de texto 4770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9" name="Cuadro de texto 4770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0" name="Cuadro de texto 4771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1" name="Cuadro de texto 4771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2" name="Cuadro de texto 4771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3" name="Cuadro de texto 4771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4" name="Cuadro de texto 4771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5" name="Cuadro de texto 4771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6" name="Cuadro de texto 4771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7" name="Cuadro de texto 4771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8" name="Cuadro de texto 4771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9" name="Cuadro de texto 4771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0" name="Cuadro de texto 4772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1" name="Cuadro de texto 4772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2" name="Cuadro de texto 47726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3" name="Cuadro de texto 4772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4" name="Cuadro de texto 47728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5" name="Cuadro de texto 4772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6" name="Cuadro de texto 4773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7" name="Cuadro de texto 4773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8" name="Cuadro de texto 4773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9" name="Cuadro de texto 4773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0" name="Cuadro de texto 4773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1" name="Cuadro de texto 4773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2" name="Cuadro de texto 4773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3" name="Cuadro de texto 4773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4" name="Cuadro de texto 4773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5" name="Cuadro de texto 47739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6" name="Cuadro de texto 4774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7" name="Cuadro de texto 4774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8" name="Cuadro de texto 4774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9" name="Cuadro de texto 4774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0" name="Cuadro de texto 4774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1" name="Cuadro de texto 47749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2" name="Cuadro de texto 47750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3" name="Cuadro de texto 4775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4" name="Cuadro de texto 4775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5" name="Cuadro de texto 4775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6" name="Cuadro de texto 4775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7" name="Cuadro de texto 47755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8" name="Cuadro de texto 4775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9" name="Cuadro de texto 47757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0" name="Cuadro de texto 4775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1" name="Cuadro de texto 4775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2" name="Cuadro de texto 4776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3" name="Cuadro de texto 47765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4" name="Cuadro de texto 4776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5" name="Cuadro de texto 47767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6" name="Cuadro de texto 47768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7" name="Cuadro de texto 4776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8" name="Cuadro de texto 4777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9" name="Cuadro de texto 4777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0" name="Cuadro de texto 4777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1" name="Cuadro de texto 4777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2" name="Cuadro de texto 4777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3" name="Cuadro de texto 4777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4" name="Cuadro de texto 4778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5" name="Cuadro de texto 4778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6" name="Cuadro de texto 47790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7" name="Cuadro de texto 4779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48" name="Cuadro de texto 4779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49" name="Cuadro de texto 4779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0" name="Cuadro de texto 4779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1" name="Cuadro de texto 4779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2" name="Cuadro de texto 4779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3" name="Cuadro de texto 47797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4" name="Cuadro de texto 47798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5" name="Cuadro de texto 47799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6" name="Cuadro de texto 4780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7" name="Cuadro de texto 4780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58" name="Cuadro de texto 4780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59" name="Cuadro de texto 4780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60" name="Cuadro de texto 4780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61" name="Cuadro de texto 4780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562" name="Cuadro de texto 4780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563" name="Cuadro de texto 47807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564" name="Cuadro de texto 4780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565" name="Cuadro de texto 47809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66" name="Cuadro de texto 4781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67" name="Cuadro de texto 4781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68" name="Cuadro de texto 47812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69" name="Cuadro de texto 4781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70" name="Cuadro de texto 4781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71" name="Cuadro de texto 4781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572" name="Cuadro de texto 4781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573" name="Cuadro de texto 47817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4" name="Cuadro de texto 4782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5" name="Cuadro de texto 4782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6" name="Cuadro de texto 4782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7" name="Cuadro de texto 4782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8" name="Cuadro de texto 4782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9" name="Cuadro de texto 47827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0" name="Cuadro de texto 47828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1" name="Cuadro de texto 47829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2" name="Cuadro de texto 47830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3" name="Cuadro de texto 4783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4" name="Cuadro de texto 4784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5" name="Cuadro de texto 4784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6" name="Cuadro de texto 4784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7" name="Cuadro de texto 4784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8" name="Cuadro de texto 4784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9" name="Cuadro de texto 4784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0" name="Cuadro de texto 4784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1" name="Cuadro de texto 4784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2" name="Cuadro de texto 4784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3" name="Cuadro de texto 47849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4" name="Cuadro de texto 47850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5" name="Cuadro de texto 4785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6" name="Cuadro de texto 4785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7" name="Cuadro de texto 4785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8" name="Cuadro de texto 4785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9" name="Cuadro de texto 4785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0" name="Cuadro de texto 47860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1" name="Cuadro de texto 4786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2" name="Cuadro de texto 4786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3" name="Cuadro de texto 4786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4" name="Cuadro de texto 47864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5" name="Cuadro de texto 47865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6" name="Cuadro de texto 47866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7" name="Cuadro de texto 47867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8" name="Cuadro de texto 4786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9" name="Cuadro de texto 47869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0" name="Cuadro de texto 47870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1" name="Cuadro de texto 4787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12" name="Cuadro de texto 4787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13" name="Cuadro de texto 4787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4" name="Cuadro de texto 47874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5" name="Cuadro de texto 4787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16" name="Cuadro de texto 4787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17" name="Cuadro de texto 4787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18" name="Cuadro de texto 4787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19" name="Cuadro de texto 4787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20" name="Cuadro de texto 47880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21" name="Cuadro de texto 4788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622" name="Cuadro de texto 4788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623" name="Cuadro de texto 4788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24" name="Cuadro de texto 4788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25" name="Cuadro de texto 4788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26" name="Cuadro de texto 4788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27" name="Cuadro de texto 4788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28" name="Cuadro de texto 4788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29" name="Cuadro de texto 478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630" name="Cuadro de texto 478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631" name="Cuadro de texto 4789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2" name="Cuadro de texto 4789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3" name="Cuadro de texto 478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4" name="Cuadro de texto 478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5" name="Cuadro de texto 47899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6" name="Cuadro de texto 47900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7" name="Cuadro de texto 4790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8" name="Cuadro de texto 4790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9" name="Cuadro de texto 4790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0" name="Cuadro de texto 47904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1" name="Cuadro de texto 4790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2" name="Cuadro de texto 4791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3" name="Cuadro de texto 4791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4" name="Cuadro de texto 4791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5" name="Cuadro de texto 47917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6" name="Cuadro de texto 47918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7" name="Cuadro de texto 47919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8" name="Cuadro de texto 47920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9" name="Cuadro de texto 4792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0" name="Cuadro de texto 4792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1" name="Cuadro de texto 4792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2" name="Cuadro de texto 4792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3" name="Cuadro de texto 4792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4" name="Cuadro de texto 4793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5" name="Cuadro de texto 4793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6" name="Cuadro de texto 4793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7" name="Cuadro de texto 4793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8" name="Cuadro de texto 47934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9" name="Cuadro de texto 47935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0" name="Cuadro de texto 47936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1" name="Cuadro de texto 47937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2" name="Cuadro de texto 47938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3" name="Cuadro de texto 4793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4" name="Cuadro de texto 4794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5" name="Cuadro de texto 4794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6" name="Cuadro de texto 4794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7" name="Cuadro de texto 4794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68" name="Cuadro de texto 47944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69" name="Cuadro de texto 4794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70" name="Cuadro de texto 4794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71" name="Cuadro de texto 47947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72" name="Cuadro de texto 47948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73" name="Cuadro de texto 47949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74" name="Cuadro de texto 4795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75" name="Cuadro de texto 4795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76" name="Cuadro de texto 4795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77" name="Cuadro de texto 4795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678" name="Cuadro de texto 4795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679" name="Cuadro de texto 47955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80" name="Cuadro de texto 4795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81" name="Cuadro de texto 4795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82" name="Cuadro de texto 47958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83" name="Cuadro de texto 47959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84" name="Cuadro de texto 47960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85" name="Cuadro de texto 4796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86" name="Cuadro de texto 4796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87" name="Cuadro de texto 4796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88" name="Cuadro de texto 4796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89" name="Cuadro de texto 4796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0" name="Cuadro de texto 4796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1" name="Cuadro de texto 47967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2" name="Cuadro de texto 479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3" name="Cuadro de texto 4796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4" name="Cuadro de texto 4797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5" name="Cuadro de texto 4797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6" name="Cuadro de texto 4797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7" name="Cuadro de texto 4797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8" name="Cuadro de texto 4797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9" name="Cuadro de texto 4797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00" name="Cuadro de texto 47976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01" name="Cuadro de texto 47977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02" name="Cuadro de texto 47978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03" name="Cuadro de texto 47979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04" name="Cuadro de texto 4798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05" name="Cuadro de texto 4798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06" name="Cuadro de texto 47982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07" name="Cuadro de texto 4798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08" name="Cuadro de texto 47984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09" name="Cuadro de texto 4798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10" name="Cuadro de texto 47986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11" name="Cuadro de texto 4798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12" name="Cuadro de texto 47988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13" name="Cuadro de texto 47989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14" name="Cuadro de texto 47990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15" name="Cuadro de texto 4799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6" name="Cuadro de texto 4800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7" name="Cuadro de texto 4800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8" name="Cuadro de texto 4800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9" name="Cuadro de texto 4800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0" name="Cuadro de texto 4800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1" name="Cuadro de texto 4800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22" name="Cuadro de texto 4800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23" name="Cuadro de texto 4800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4" name="Cuadro de texto 4800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5" name="Cuadro de texto 4800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26" name="Cuadro de texto 480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27" name="Cuadro de texto 4801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28" name="Cuadro de texto 4801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29" name="Cuadro de texto 4801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30" name="Cuadro de texto 4801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31" name="Cuadro de texto 4801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32" name="Cuadro de texto 4801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33" name="Cuadro de texto 4801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34" name="Cuadro de texto 4801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35" name="Cuadro de texto 4801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36" name="Cuadro de texto 4802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37" name="Cuadro de texto 4802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38" name="Cuadro de texto 4802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39" name="Cuadro de texto 4802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40" name="Cuadro de texto 4802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3709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0534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3706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7" name="Text Box 8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8" name="Text Box 9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9" name="Text Box 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0" name="Text Box 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2" name="Text Box 9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3" name="Text Box 8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4" name="Text Box 9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6" name="Text Box 9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07" name="Text Box 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08" name="Text Box 9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10" name="Text Box 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3911" name="Text Box 8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3912" name="Text Box 9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16" name="Text Box 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18" name="Text Box 9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20" name="Text Box 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3921" name="Text Box 8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3922" name="Text Box 9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4" name="Text Box 9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5" name="Text Box 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6" name="Text Box 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7" name="Text Box 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8" name="Text Box 9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0" name="Text Box 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2" name="Text Box 9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3" name="Text Box 8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4" name="Text Box 9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5" name="Text Box 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6" name="Text Box 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8" name="Text Box 9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0" name="Text Box 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2" name="Text Box 9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3" name="Text Box 8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4" name="Text Box 9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6" name="Text Box 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7" name="Text Box 8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8" name="Text Box 9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0" name="Text Box 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3" name="Text Box 8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4" name="Text Box 9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5" name="Text Box 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6" name="Text Box 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7" name="Text Box 8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8" name="Text Box 9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9" name="Text Box 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0" name="Text Box 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2" name="Text Box 9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3" name="Text Box 8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4" name="Text Box 9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5" name="Text Box 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6" name="Text Box 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8" name="Text Box 9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9" name="Text Box 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0" name="Text Box 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2" name="Text Box 9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3" name="Text Box 8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4" name="Text Box 9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6" name="Text Box 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8" name="Text Box 9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9" name="Text Box 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0" name="Text Box 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1" name="Text Box 8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2" name="Text Box 9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4" name="Text Box 9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6" name="Text Box 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7" name="Text Box 8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8" name="Text Box 9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89" name="Text Box 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0" name="Text Box 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1" name="Text Box 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2" name="Text Box 9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4" name="Text Box 9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5" name="Text Box 8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6" name="Text Box 9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8" name="Text Box 9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2" name="Text Box 9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3" name="Text Box 8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4" name="Text Box 9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6" name="Text Box 9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7" name="Text Box 8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8" name="Text Box 9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0" name="Text Box 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2" name="Text Box 9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4" name="Text Box 9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5" name="Text Box 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6" name="Text Box 9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7" name="Text Box 8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8" name="Text Box 9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20" name="Text Box 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1" name="Text Box 8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2" name="Text Box 9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3" name="Text Box 8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4" name="Text Box 9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6" name="Text Box 9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7" name="Text Box 8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8" name="Text Box 9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9" name="Text Box 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30" name="Text Box 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32" name="Text Box 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33" name="Text Box 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34" name="Text Box 9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035" name="Text Box 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036" name="Text Box 9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038" name="Text Box 9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42" name="Text Box 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43" name="Text Box 8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44" name="Text Box 9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045" name="Text Box 8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046" name="Text Box 9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7" name="Text Box 8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8" name="Text Box 9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50" name="Text Box 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1" name="Text Box 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2" name="Text Box 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3" name="Text Box 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4" name="Text Box 9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6" name="Text Box 9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8" name="Text Box 9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9" name="Text Box 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60" name="Text Box 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2" name="Text Box 9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4" name="Text Box 9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5" name="Text Box 8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6" name="Text Box 9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7" name="Text Box 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8" name="Text Box 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69" name="Text Box 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0" name="Text Box 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1" name="Text Box 8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2" name="Text Box 9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4" name="Text Box 9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6" name="Text Box 9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7" name="Text Box 8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8" name="Text Box 9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9" name="Text Box 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0" name="Text Box 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1" name="Text Box 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2" name="Text Box 9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3" name="Text Box 8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4" name="Text Box 9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6" name="Text Box 9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7" name="Text Box 8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8" name="Text Box 9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9" name="Text Box 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0" name="Text Box 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1" name="Text Box 8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2" name="Text Box 9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4" name="Text Box 9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5" name="Text Box 8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6" name="Text Box 9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7" name="Text Box 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8" name="Text Box 9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0" name="Text Box 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01" name="Text Box 8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02" name="Text Box 9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4" name="Text Box 9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06" name="Text Box 9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08" name="Text Box 9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10" name="Text Box 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111" name="Text Box 8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112" name="Text Box 9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13" name="Text Box 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14" name="Text Box 9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15" name="Text Box 8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16" name="Text Box 9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17" name="Text Box 8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18" name="Text Box 9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119" name="Text Box 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120" name="Text Box 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2" name="Text Box 9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4" name="Text Box 9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5" name="Text Box 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6" name="Text Box 9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8" name="Text Box 9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0" name="Text Box 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1" name="Text Box 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2" name="Text Box 9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3" name="Text Box 8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4" name="Text Box 9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5" name="Text Box 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6" name="Text Box 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8" name="Text Box 9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9" name="Text Box 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0" name="Text Box 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1" name="Text Box 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2" name="Text Box 9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3" name="Text Box 8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4" name="Text Box 9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5" name="Text Box 8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6" name="Text Box 9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8" name="Text Box 9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9" name="Text Box 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0" name="Text Box 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2" name="Text Box 9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4" name="Text Box 9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5" name="Text Box 8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6" name="Text Box 9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8" name="Text Box 9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0" name="Text Box 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2" name="Text Box 9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3" name="Text Box 8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4" name="Text Box 9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6" name="Text Box 9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7" name="Text Box 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8" name="Text Box 9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69" name="Text Box 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0" name="Text Box 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1" name="Text Box 8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2" name="Text Box 9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3" name="Text Box 8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4" name="Text Box 9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5" name="Text Box 8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6" name="Text Box 9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7" name="Text Box 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8" name="Text Box 9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79" name="Text Box 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80" name="Text Box 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81" name="Text Box 8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82" name="Text Box 9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4184" name="Text Box 9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87" name="Text Box 8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88" name="Text Box 9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89" name="Text Box 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90" name="Text Box 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91" name="Text Box 8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92" name="Text Box 9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93" name="Text Box 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94" name="Text Box 9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5" name="Text Box 8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6" name="Text Box 9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7" name="Text Box 8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8" name="Text Box 9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99" name="Text Box 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0" name="Text Box 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02" name="Text Box 9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3" name="Text Box 8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4" name="Text Box 9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05" name="Text Box 8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06" name="Text Box 9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07" name="Text Box 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08" name="Text Box 9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09" name="Text Box 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10" name="Text Box 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11" name="Text Box 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12" name="Text Box 9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13" name="Text Box 8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14" name="Text Box 9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15" name="Text Box 8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16" name="Text Box 9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18" name="Text Box 9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20" name="Text Box 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1" name="Text Box 8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2" name="Text Box 9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3" name="Text Box 8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4" name="Text Box 9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5" name="Text Box 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6" name="Text Box 9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7" name="Text Box 8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8" name="Text Box 9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29" name="Text Box 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0" name="Text Box 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1" name="Text Box 8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2" name="Text Box 9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6" name="Text Box 9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7" name="Text Box 8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8" name="Text Box 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39" name="Text Box 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40" name="Text Box 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41" name="Text Box 8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42" name="Text Box 9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43" name="Text Box 8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44" name="Text Box 9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45" name="Text Box 8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46" name="Text Box 9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47" name="Text Box 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48" name="Text Box 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49" name="Text Box 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50" name="Text Box 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51" name="Text Box 8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52" name="Text Box 9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53" name="Text Box 8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6" name="Text Box 8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7" name="Text Box 9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8" name="Text Box 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9" name="Text Box 9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60" name="Text Box 8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61" name="Text Box 9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80E5BF78-7304-4B8F-844B-F993A29D58C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9ADDC892-11AF-4C09-8C88-7CC31882CB4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9F234830-920A-48AD-B519-7899A10434F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D6429261-B4A1-478A-AEF6-AB1D5BFC2F9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87B57567-2FE3-4DBE-A710-AF9E7C18A1D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4DF50A0E-FDC5-4218-8897-823058DE20C2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5463ABA-FFFC-4665-ABEA-E7B830082DA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F4F31FE0-67AE-4F7B-A4DD-B40830AF848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2D04223D-71E4-4A84-B8F5-C93C61B71E1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D4377610-30D5-431A-A7B2-4C02DF6DDFC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E0390C10-9747-4345-99FE-96FF1939CAC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3D18AF15-7533-4390-AE1C-DB292377533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6B547AF-F245-4325-95CB-3B830764006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6A17941D-0994-40CD-96DA-D09F502302F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5BA88EC-42E0-489E-837A-6F656404078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18708624-F1B8-47E5-86CB-D7A2EA334AAA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2CA298E-F45D-40B2-9DBB-EEA8A4280BA8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27E58024-E37D-44CA-A01E-D1E364E12C3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C4182BBA-D7B9-4A5C-B478-BB6EEAEA32D2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53E7A27-9AA2-4283-BB91-030E54B6D1F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C8F8F26E-A26E-4F3A-910F-A0CBE99C8BD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20639F3D-65EA-4D06-BB5A-F4F6872921D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6350A1AB-0D85-4161-A75A-A8377B60267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C0546F68-2EA2-479D-AB1D-85F96381E89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15A7D969-D36B-4ABA-ACDA-6F3DF7905A2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7F560A1C-DD76-4B5F-81AB-9BCAE0167B0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F5380C7C-5CBD-4E4A-9028-E0704C52D1A1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EDC98F41-9432-4953-8DC8-B675A1FFCD39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3BF87625-45E2-4363-B8F4-B09C808B9F2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F9A0FBD2-6744-4AD7-B69D-B5112644F8B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887E6B22-DF78-474A-ABBD-96769A27C2E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F25D35B-506B-4A55-AF1D-1D4E7EFDE3F8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28901733-3C84-4483-B036-D4A30E6AB8CA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854776DA-7F78-41DB-A9B2-C198777A4E31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5E4D3844-7C4F-4DD6-A278-0461F5F3564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773EE2D5-D73C-4198-80AF-C867D58F782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6B9269F5-F284-485B-BF7C-36A4E8BDEB6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DB952AF8-DC1D-4CFF-9F36-F2DC93A4E7B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85BE07F5-2249-4CA3-9F04-200E8092522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FD55E642-BFE9-40A6-955C-4A9726D860C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5EB19FF2-F7AA-4438-B505-CA82C804A57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79CB2A69-CB8B-44CC-ADF0-F5AD579B3F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871B7F80-30BC-48AA-AD6A-64B285470BE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9266D19-3A59-4C76-BE2F-CA4455274B8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7AF55432-5633-48C9-84B9-B13A7F110F2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DED972AB-766D-4E84-AB7C-FECD6CE45E4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76FDC59F-D5B9-4B1D-B4E7-D07C77810C2B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2CC3F4AD-9722-4D75-9452-14661CEA4DC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AE150E7F-08F9-4394-BA9F-BBCB15B7E33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34F0A1B8-0E07-4F8A-BF17-284F74F0D06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187F1453-7D67-4CF6-95B3-5A0054B1F7B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BF88B049-797B-42F5-A8F2-61A78D6CD38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FC1755BD-CACB-4203-9D5A-E6056B4FAA3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F21F99D0-41EB-4D42-934E-11E60B279B5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A393BC60-F219-4F42-8843-CF8470E5E782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2D542B32-6E93-4FF5-A66E-A103DF8BF9AC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177C3DAB-2B24-4676-8349-BC7C6B1E031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E40F2BD8-59E0-4B4D-80F7-1DE302023DA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A798100E-28B5-462C-B979-CDD9DAC0E73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15419391-9A8A-438F-8C9D-66200ACD7A98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8872EDB-671D-4E90-B0CE-C4E1BED2ACF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27055865-D1BF-4E0D-9A19-0156EE562F59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90E78AA-3844-48B4-A2C4-AF0C3663AEC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A2AE918E-6BAD-474E-A3C8-799C2B6EA30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E6A6C04-878C-4DE2-A9AF-7CA680DDCEA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99BAD686-BE02-41C3-92B4-6E18A20C608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5A3A51F5-A35F-4D14-8A92-5309197BA8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B1AF4192-CCA2-43C9-A5CA-E0C63010989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441AADBF-5355-4C41-A196-9CCA4949CD6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58AAC5B8-E169-4DDA-BEEC-CD508FB0C85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CD5842C1-BC81-4C9C-92E0-149076DFD1F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4F4BAC50-2E06-4913-84D5-70486A2BC74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6848A59D-39E0-44D5-BFB0-CA472A63EC1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9CDC29F9-37E9-4D5B-8CEE-51045C53A30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857FD54C-8677-4F35-98A6-A7CDA04DA316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A9FED1D8-7702-448C-89E9-88A2886D72A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808E25FC-7C9B-4FD5-9305-7D47881F170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ACAFEC59-9891-441C-8D2B-0BA6B28A22E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3B53A1D-E58F-4CBD-B92A-F53409D7E92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EBEB07E0-4E8E-4C4A-9C13-8A9F82E899B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E056142-1D53-44E3-985F-BF90FDAB9DE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8D8F829-66F9-45CF-8E30-B6B9155799D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F95B935-018D-4704-8476-262827BAF65F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ADDD5D47-D1E1-4B93-BC04-97584A6E6F60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808862DF-EDF6-4169-93E9-9D9CA0CFF5D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5CBB646-EFA8-47BF-B08E-C1359BBCD27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3E8B99FC-377A-4D83-9979-187E4EC82E2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31886A65-BD07-4F30-A3DE-5AC2762DB81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D78BF612-7814-4814-91A0-B11FC5FC6E8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1DCE2F5-B1C8-467D-ADA9-7FAD1FB3460D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BBC817E-7AF5-4391-8E5D-43C79D941AA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2F6E022-A951-424B-822D-BC1AC44E293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5161BFDB-E61E-457E-8EC3-049F7D0615E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290F1964-0DB5-424C-BB4F-0EE8FBC00E3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248E0CC7-EE62-49FE-A60E-844F36D380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7F84C5CD-1AF2-4825-84A6-57D120AA980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628974A-2743-48D5-B13F-DDCDEC8B6F3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F8BF98DE-CAED-4644-8D87-586C011DF83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5C403B9-CB5F-4691-8921-512547DE7AE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7EF13181-9F9E-4924-A8AC-5C31B37982E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DCD34A0-A9B3-453D-9F7C-0238CF58A52A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112BAA9-A953-4830-8A9C-E7FDCD7D70B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F2040B21-FFC4-463E-AB2F-4E7789A4EFFA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4C973FBA-F071-42EB-81ED-9268C8C6087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EF3344D-657C-460A-973F-D30451D88C9A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58C89270-1BA1-4DDC-B254-DB2CC52C70A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AF5CD6ED-44AA-4232-9F86-8135161A0C9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56B7868-550B-430D-A2A1-4511C111A17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F7086FD2-CA6C-4697-9328-62308DF2DDE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D3613D11-6B1B-48F8-B9D3-0647D558F41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DAF85377-5CDF-42A8-AB4B-D7608DE8EEE8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A1E6955-06E0-4762-A2D9-4EF9452C45D5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A8EA6C4E-12C9-41C5-8798-49929243BCA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D14AF2E9-1F32-41A7-BA21-3296BAFCD75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D341D22D-AD6A-4963-9944-90DC639E7BF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E6BE77E4-7B0D-436B-946C-CBE5773FC2A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6D0060AC-A44E-4633-9733-B49D9B4C66A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DA5C3508-6DD4-4411-BFA8-08910CE6B211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AD8DD38-F789-4B10-B6B1-B3A519AE76E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72FD0019-701A-4455-A32D-9EB2BDE9E7D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BDE3FC09-4FEA-49EA-82F7-9F8F14A28AB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8A432C7-5A20-430E-8757-268E599B9E2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5D6FB6D4-A971-4F5F-973A-20FBF2463B4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72C6771-16FB-4F5F-B0B2-2131AFDB899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7B75763C-8DFC-4F50-844F-7B054BD3661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D8D997F9-694D-4AD5-9BCD-63C78848C9F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C36A665-300D-42D2-924E-C74A726F489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6892491F-DC8D-4B04-9C7F-EAAC95E4373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21511C4-B7BA-481E-BB07-3EF6BCB7E17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92F6F776-33D5-4BBF-9863-7BB92B8444E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A2590372-2342-48C6-83E0-FD74AE720985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3EBC89A4-4D97-485E-AEF6-6F15E97B51C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A55DB6D0-C5BC-4CDA-BBE1-FE40DFCD128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C9676691-E197-4447-841E-E3B95E4508B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1C3D3E70-3042-4D91-846E-7E74957A780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F3EF6B30-173C-4CB8-8F6D-CB5E9110216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C186F07-66FD-4EF7-B5A6-7F6D4EB1EDE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9ABF193-A142-4672-8C63-1A9E0146C5B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90904978-9325-4CD5-ADF0-805D19796F76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7AF5EF5-9365-463E-A7DF-3482A7F21AA9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BD15AEB4-B5A9-4A69-BA07-2E92F8922BC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50EF2C96-C8D7-4E7A-B3D0-64D446CAC75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DA62EC7F-11DC-4B1F-A70A-895D848AADE8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BB94F378-8D5B-4B2C-A5DD-E9332E696E6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64F0D647-8963-4067-8308-9A8172529D1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10AEFA8-9499-4457-AAD0-E0B78D40DEAC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61BD6EDD-1A55-47B9-8E23-4599165A850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94FA8015-8F6D-420B-9B27-B7DA9FB52DD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4ABCF3AD-3CA9-4462-B04C-C7CDB19EB8F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AB04F871-C4AE-4214-884A-7A3AA26B1B5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591FAA09-3645-47B9-8F6F-3DDFB217C51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A399E86D-889D-4116-8669-2777B77139E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4BBF6A66-5E52-49BB-8C1A-48C81059369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AC2F7041-2213-4452-B7DA-7BA9E191E2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FBAAE8B-FD9E-419D-828C-655B6C9D644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2A64D081-07EE-44DC-A0EC-217B6F7FB6F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CD37BB-46E5-4521-BF47-8F8B4670D07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80755EA6-EAF0-4ABF-9015-D49D21682739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3E03C20C-0538-4085-A132-2A4ED28BB0BD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EDCB2073-C8FA-42E1-8E10-E8CE9B7FA88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DEBA8FE-FC0A-4639-AC95-1F9569C0B1A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9AF5E9CD-5026-489B-B71A-4EB08830247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C68A769D-9280-4BCB-BEE8-1FD29182B42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906BDD69-E74D-480B-BCC3-A81C148D6A2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122539AF-326A-4660-A07D-9E7AFB97A04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846E4536-B58B-458F-A8F9-5E7A0D00B6F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15039E8C-0374-4685-BEE4-0308D1E9D2C0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E5B563D-FE8E-4532-AA3E-8B87F88DC84F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19383C1-7529-45CA-AC85-3B9D4EB4F2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499B010E-4ED5-4D16-AAB1-ACA141B3EFDE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5890B616-8B17-4B62-86FD-7716AA9E3EF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3857B20E-058C-45AF-A7AE-D8B3DA76B48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0753D34-1075-42BA-A636-F1414CE595E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21CF8410-CAB0-4B95-9C61-FBF534048AB4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38A0DF3-75C3-43C6-BB1A-23B3A0F87AD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B37B34CC-8DDE-4E22-AA64-332500B1BF0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9F236789-435B-4BA4-A3AA-A40C9A83593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866223A5-2272-4778-99F5-D1865BD3ECF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E339E17-FF37-4722-AA87-7DCCD68E0C6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538DC76A-4F69-4D50-86AA-B9787B992F9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73950DA-9470-4825-A715-FA018DD7B52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A20D4CE1-6499-4ED5-A8C7-712058B0B6F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C8D51A9-8FA9-485D-A544-96C9519DA7E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776692EA-CDD8-4933-A5E6-1B074581BDB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19B06CF-FC25-4F0D-B85A-761513FBD7D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2A2B2BF2-2BD6-45E3-BDA0-8BE0D6931B0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1C8438E-36FB-411A-B0AE-5B87EF165922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EEC6BB8F-8F0B-4A17-B6B0-BE796735D1C8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3FD50FA9-A9EE-4F47-8017-47B74D14A90D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A11F444-EE62-4E99-9405-2ED8420DDFB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B3CB996-E358-4885-9447-7F0337DF434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C9897D2E-BC9C-4410-900C-69E4CE769B1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C3C0E49A-A08D-4E70-9E2E-5480975BBF42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AE0139D9-5B57-4BD5-AB1E-1218E6CFCA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4D08378-35F8-4FB7-9B1B-2E6F074FDD35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33BE46B-E145-425B-BF97-E64B0184A998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9077A1A1-9F24-4A61-9198-99C218A069C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E3D04534-2A5D-4C72-B86F-89285D7D248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2D5A92D1-D8F9-462F-9AF7-C476224A97C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F88713D-3A8E-4AF9-8494-A5C37D8AF18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C679F1F4-D0AF-471D-8F06-41EEA6FAB517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2C816F7B-9536-47CD-A2F3-8438E689FAD1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E706FE6B-A825-4C7D-A5E5-0291E74EA3B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85916C5E-52CD-434B-8A4F-CD6063A5C2B4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2DCA5D75-D574-44A8-83B5-9F331B6FE473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C8D1D7C-637B-4456-84B2-928211F9604F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A3E29AF8-4353-474C-A6EC-7FEE26C7460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66C80E06-5DB8-4944-9A16-6FCDF47A65E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AEC4623C-84EF-4610-8475-EC049C4E931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5045856C-FC59-483E-A6CC-E9CAB07A8C2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2E090BFF-DB2A-40B6-BCC6-2A1B6CB503D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79BAEBB0-09EE-476A-A9D7-11EA666111BC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406B30F2-A15E-4449-91DB-48C728540A9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9A6FF47D-3E90-4BE2-B4E7-40630EF604A1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69D19B06-761B-4966-9890-A8F5793AF163}"/>
            </a:ext>
          </a:extLst>
        </xdr:cNvPr>
        <xdr:cNvSpPr txBox="1">
          <a:spLocks noChangeArrowheads="1"/>
        </xdr:cNvSpPr>
      </xdr:nvSpPr>
      <xdr:spPr bwMode="auto">
        <a:xfrm>
          <a:off x="2065020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5A09D3E-0868-4B7E-94E5-DCE24E592465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E48B8862-4E71-4BCE-A142-B6E05304391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302EB737-299E-4709-BD19-D066E551FB2B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5FDFDE51-8A1E-46B3-B989-CA757A477156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B595512C-AC79-45F1-880B-2BB85CF622B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85C461F2-3BCC-409C-B8DA-91E8D1C5F230}"/>
            </a:ext>
          </a:extLst>
        </xdr:cNvPr>
        <xdr:cNvSpPr txBox="1">
          <a:spLocks noChangeArrowheads="1"/>
        </xdr:cNvSpPr>
      </xdr:nvSpPr>
      <xdr:spPr bwMode="auto">
        <a:xfrm>
          <a:off x="201739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822EE40D-A4EF-4ED9-9CE5-57B599B409A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EDD66CBF-B6AA-4558-9495-BC89E4B9B737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F3C019CA-2EE3-4191-8906-CAFF1FACD43E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163</xdr:row>
      <xdr:rowOff>169424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88AEAB1B-3A1A-4424-8A90-AD40C9DE29B2}"/>
            </a:ext>
          </a:extLst>
        </xdr:cNvPr>
        <xdr:cNvSpPr txBox="1">
          <a:spLocks noChangeArrowheads="1"/>
        </xdr:cNvSpPr>
      </xdr:nvSpPr>
      <xdr:spPr bwMode="auto">
        <a:xfrm>
          <a:off x="2017395" y="26228040"/>
          <a:ext cx="100965" cy="16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139153C-6FEA-4B11-AD26-48D843E0D691}"/>
            </a:ext>
          </a:extLst>
        </xdr:cNvPr>
        <xdr:cNvSpPr txBox="1">
          <a:spLocks noChangeArrowheads="1"/>
        </xdr:cNvSpPr>
      </xdr:nvSpPr>
      <xdr:spPr bwMode="auto">
        <a:xfrm>
          <a:off x="2017395" y="299847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163</xdr:row>
      <xdr:rowOff>169421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8C255A66-2E5D-4A5E-BFA7-1D1289C81EA7}"/>
            </a:ext>
          </a:extLst>
        </xdr:cNvPr>
        <xdr:cNvSpPr txBox="1">
          <a:spLocks noChangeArrowheads="1"/>
        </xdr:cNvSpPr>
      </xdr:nvSpPr>
      <xdr:spPr bwMode="auto">
        <a:xfrm>
          <a:off x="2017395" y="27637740"/>
          <a:ext cx="100965" cy="169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7DE307-8214-459A-AF8B-834B65E9F792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33653969-1769-4213-91BC-3256984722C1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157908-6B78-4F03-AC37-A1115789A1AF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FBA0CF2D-E5F0-48B1-BE3E-5638961DEBAD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78A07ADA-86DA-4E07-96E6-833E51B1947E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39FA38C3-FCA7-46A9-81F2-69E74FBE87DD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3C8DAF7C-8659-48E9-914E-1DFEA08D6AA9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29A76155-AEAA-4907-BBD3-BF98F49CCB23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F73E87BF-109C-469F-BF28-BB631D22F703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28CB40D-074A-431F-A019-51B94B029195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8CF1768C-2D69-43FD-89F4-A358FD8BD5FB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7B5049D2-FEBD-45FB-A482-ECAC282BFE26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99D9BF06-AB16-4EB0-B9DC-B7E0E047BE2B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7750BB7-676A-46D7-B922-368A4A099883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35E9A80-2BFB-4377-A8C6-FBD35AF6DD8D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185</xdr:row>
      <xdr:rowOff>285750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9BAD8FFA-C1B8-4C50-8494-A4C048D59A7C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416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32C01931-10B2-4297-8022-4F5B95E065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74773EA5-A5D1-4B4B-B8E9-CBEB65EA88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64FCD1A-0A05-408C-BF95-36F149A7F51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C4EC9F03-AE3C-43E3-B727-3929E47D38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386C6137-DB74-45E5-AB49-333C2CD20B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2310CA4D-56EB-4A5F-8F13-4A7F72ED998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DB0F33E5-8317-471C-AEFB-3BB9498E265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28938173-EC02-4EEE-A04C-4A46CE005E7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FB981D68-E579-47C6-AD65-E9946A24E4F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2472781E-21E1-48AD-9179-56D4BCB99C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277C4643-6539-442D-80EE-686DF7EC63C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ABED05CE-1C1D-4FC0-81F0-D2010FF2E36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101134B-EF65-4A90-9E8E-50643983EC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35A55B9D-9808-4E73-8B89-9FBF080CEED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249555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FE5BE9D9-E1AF-43F1-A9FC-64BC7EB964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4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249555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3F331AB6-ED1C-4691-925F-F98CA4AAD55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4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6E0C7900-A726-4A86-B564-31C6CC415CA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982A8D61-54B4-4045-8BA6-B2A9BC89476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B7A4914C-8A87-4618-B9A9-06A0E68B92A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B7EBCB31-FCF8-4AE1-ACDF-848A0F294E3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E6850243-C247-42EE-B2B0-41150EB0B94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402A05EC-4677-4E6F-85C6-891443DB5C8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D8CBDDDB-C7CE-4178-84D1-4404DCB0141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CD0562EB-28EA-4552-829A-D978E655DCD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166C422C-594C-40B2-BFBC-47E1548671A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98CFC2FE-C793-41D6-A393-9692AE721DB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BEA3CEE2-A99E-4C5B-BF66-04B66FF7268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D9CF2222-9A09-4A46-864B-3B47FD72DE1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5E71018C-037C-4E87-88A3-EA4A5FD4C1C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2A08BF4A-B324-4E72-8639-FCB191DCE1D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DA9D4E29-912F-4672-A311-2198F00120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54EB8359-43E0-43B8-AEA9-73E6B360764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5BF4196F-F145-4788-B6A1-51B2AE6DF1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75502CA8-9DFD-4F39-AE1C-D9048958A5C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20DCAF8E-2499-415E-A8F9-78A1D68869C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9C44C538-275D-403F-B742-AE2386D38F2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2303E669-9968-4A37-B0FC-D1875FAF98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47FD60CA-0032-4D3A-922E-DC725F9932F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6BC08CCF-4B42-4374-8627-8EF2DEEB816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A3E552D-C04C-4D31-BDE9-B942A722775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21B93BA-7457-45DD-950A-0FA6D56A4FA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978A9244-99F9-4A22-BCDC-C6E3EFFAB41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5072B41E-2D22-4EEE-8BF3-BF8C1344514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F1BAE6ED-505D-4A28-9AA0-B9C2400C1DC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54CC4172-E6E9-4811-B289-0B75ADB906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9871C5C-2E2A-48F5-8D8D-3D8E78BBAA6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3B885358-A678-4135-BDEE-B28B2F9FF71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5FB29D61-2A83-4C84-A3A4-C46C3FD0566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D94DC73A-FFE8-4C20-85BA-9B9481AAB47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EEAB8543-ABE1-4526-8B2C-A94998665EA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FB4A0986-2169-405F-9A9E-19A292B370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7EE5297F-7205-4233-997F-F94D94135A4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C8CABD40-53AE-4730-9B6D-9F33668FC53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EF1A4E79-A048-4E52-BDA6-AD5F5C89A6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EA2F8B5E-769F-4209-9655-92DE438951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B9D47D55-13FF-4B13-984F-F0C2177D279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F36D5EC-962D-48C0-8689-28C7A4289BB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560762EF-1E8D-4DCC-8E6E-C3D5F45BCF8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7632D145-7BB3-4B15-82F2-F7A30C9B31A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E7DCA06B-0FAA-48C3-8382-6B9910EEC8C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15AAFF61-2091-437C-8357-486C831CBDB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62F7B0A-57F5-4F2D-9FDA-676BAB6EACC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446E2238-6AF7-42EE-AA11-4144BF67E37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957DFEAE-52C6-4B17-A039-6B99416B224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D4C1401C-F591-493A-9EC2-51F54194797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DFDD4798-CA2C-43F0-8CC9-2DADC628D6A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C326A8AC-2967-49E5-A012-8E7930A5092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882F4C54-ADF5-4468-8664-27729C6CD36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12BF3BB4-F019-4BA6-BC6A-ACEEE73F33B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97F6A735-2BDE-471F-941A-4E4520B1372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401C9B4F-DA15-46DD-8302-B8CFFE987E4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4802D611-CCC7-46FE-BC75-4077309A456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CDD4A58F-1BD3-4084-9861-65AF22FF48D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1F24BB7-3937-448A-A29C-3564DCC3938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4947D960-17AB-4942-A7CF-42127A66A3E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B6324D67-C25E-4E8E-A38F-B548D1F88C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6D1EE562-2F08-4246-B23F-C18CE187147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B6F9184F-5231-47CF-B286-9254F2DE4C4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DAB89C6D-6B83-4F2E-ADB5-E688A59616A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A2CDD34E-6BBB-4700-9730-BE17F35A1DF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90D36AD8-ECD4-4D7A-858A-C2D54408D71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D97FF53F-4AC1-469C-8AC6-96BAC0F7FCF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E41AEC67-BD1C-41EA-BE4B-14F084B3651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1E7F5CE8-63B2-48EA-9115-33741E72AF8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ADFE2A29-9E84-42AD-B61B-A2F3DB09520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87437CC5-E437-4C79-8413-17D13C5CAE4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2D35226B-4C45-4C7E-A4E9-537E30CC03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391E93BD-E7DA-427C-A31D-C59373B419C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B545F2F6-BA8C-4E97-9D4B-A985137EF09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EFB63E69-DBBA-4527-9F9E-1F1F2197CFA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8A908E76-DFA1-4420-BD6E-E4E960739DB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1B5C3232-4B8D-458B-82B4-E47FB0D779A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34C9BA91-D863-4B54-BC71-8ABA8B6D8D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3E2AA71A-557C-4004-AB26-516D3516B00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C4EC554B-EFAC-48B2-9F90-39F2800B9F6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FAA75B6C-9B5B-4971-90BD-62CC630766E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8F7C9720-A71B-43ED-90BF-293320711A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912F479-606B-4438-99CD-65963DADB29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454889E5-7BAB-4A87-A0C1-2A5EFEDE830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42CA72A0-B6B5-4A7E-8F1D-A5F3FE2B4E1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BA56DF17-2D83-4610-AA6F-AE6A73CFD8B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290C735-7653-4F72-AE7F-4FE2F61C5C3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5B734226-6317-400E-BD87-D212F3A7E20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56F273E2-1700-4C31-9F8A-E24C2B14181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B10FB73D-59BA-442F-9EF1-1340148E292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2D9D0168-77FF-413D-ADB8-E497946339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70C2D9A9-2EB7-4AEA-8B9E-A0A9F15BC3C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97496D-EE73-4EF7-BEBD-D8D725D1BB5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1BDE5208-D28D-4279-9383-C345BA1FBB5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D38ACF05-500A-433F-A1D8-7F0E0446F0F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7629BEF6-BFFD-4EC9-8395-CFA865F389A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2F4473C3-DAC3-4D3F-9B5D-5590C2697E0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604F140D-7B37-4014-9394-601FA49C32B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BEC9A7D4-EFD8-4C0F-BADA-B496E116128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1F68685B-40D1-42C6-A669-380AD7D735B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836A266-FA68-4C01-85E4-518238C2CF0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3CC33CBC-3182-4AFB-95B3-F0B2C58E163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C9ADE99D-E6E8-44A6-AF0C-D6D864F55AA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60A76A36-CACE-430D-8245-92C119AC990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AA262701-F168-440E-82BA-B9B1F43E39D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DCFA77CA-74C0-42F7-A86C-11EA5F46E5C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831F3EB2-1206-49F1-8D65-9EF42563BB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3D261383-ABCC-494E-8EF3-E5A23093AA4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5F1D30AF-5870-480F-9C9F-B952F55C8CF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88CAA5E2-200D-4BA6-98E0-D5A7E69197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B277BD78-575B-40E8-8F99-E2AA62503A9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6BAA65C8-DF97-41F5-8DC5-06E8C685820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B6DFD513-1307-43D7-8E82-70A841C93C2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2A6678FB-A2D3-4E38-B3E2-6EF5A0B2D31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CB552D34-764C-4295-B57B-940AFFACE89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A054D289-D9C0-4CD7-A299-F49CD18AAE2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E17618CA-A2CC-4909-B047-D6CF9213F21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F55FA435-CE96-4449-BB82-85B29AE5D0F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41B341BF-F140-4996-A43A-E11C3DA92B5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8D135369-5C48-48D1-ADF7-950394162C2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571DF1E8-E729-48BF-A156-E86BB75E025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88CF6932-34A2-4E5A-A99A-C37F7F34FB4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BECE5651-0726-419A-ACD0-19271ABA407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3011FE7D-38E6-4C74-BE67-004160F280B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BEEAD727-EAD5-4BA4-8D23-31B59B60EB5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AAB4E5BD-EEC1-4794-828B-897CB0B20D6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BC9B291A-E6A3-4819-ADD4-96E02B06D49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A95FB2B-66AD-4B98-8416-56208F38114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373F889-842E-41B1-9FC9-D6902E4383F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EF3202C6-CF1D-4B55-B0EE-81FEF05CEB9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FE4B9C97-26F5-456F-B4AC-AEDFCADEC49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AB04A518-AD43-480E-8AF6-B2DAE6B0E46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18A04037-785D-4BBF-A311-9B94CC89ABD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D907E8A1-292E-4521-9B53-36FF11D89DA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A0E13A90-8105-46EB-99D5-3A8DF51AAA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F0B91259-F28E-4C99-9055-8891D8B1968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4D6DAC6A-267D-4D40-BB8C-8C7AFD19F19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8AD2816A-3493-40DF-B668-7E7001D9B96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D5CBD558-3A2E-43B9-AADB-22BB13BC6D6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B9615DDA-99E9-4B2F-867B-4DC484E3B1B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C316459B-A0C4-487A-8B22-A456774AE60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C3FBF7C9-BBCD-4403-AACA-BFD87D47E04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6F5CE5E6-DED1-4383-9EEE-1417730B5E0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96E7066E-C770-42E9-9B00-8DAB5A31D68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2FF71C6-60C5-404C-9FFB-68C3796D3C8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E6FC6A74-4FC1-4FC7-8004-BF445FD904E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C04515DC-450B-4221-A958-B4C0329E20A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2853D194-DB5B-43ED-B890-F320C2EB482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CD31A50F-3A28-4894-9510-A41251D8D8A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5FB24C9C-2E9E-4479-8073-5D7DE09281D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83CC68DF-A50D-4420-A006-91CE94BEC2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E79B65C5-AD20-4DFD-8910-4DB46676419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763B50A3-345E-49D9-A649-D08EF08EA0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AC2F586-CCA7-4F57-97E8-F2A3B63B88E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5EF0CF0-AA66-4383-9213-4FAB56C35D8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4AA96454-1A37-4E19-BDA7-B888FC9B590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83FFF691-7D61-446D-9A6E-328B0391B2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77CFAF35-16FB-4D51-8907-51C14DBED48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56EC022-D070-44D1-96A3-531491588C2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B4AC2E43-B804-4D2B-A658-F735B1C7706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F7884024-CB6E-439C-AFDB-19ABC04B9E1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DBE93A64-3370-437A-90C6-0DF72CC1F3A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2E8C41F5-066D-4620-949D-196C7A47893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1A9836BB-D91E-497F-ABF4-A564D5C171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275C2B7A-4D24-44A1-AF2C-2E5BF89406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676639FF-63DE-4F5D-9463-C54306F607C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6FE29A11-977A-4EDB-A30E-AC36C5C4767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BE0539C4-3AF3-47FE-A55F-1CCCEF3E1D9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59800CA9-975B-43AB-97A6-FE9113E71AF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B3051097-8C16-42FA-B62D-9C1930E62B3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EC4BD8C-82C7-4187-B18B-ECF5D01C0CD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45536C4C-F96B-4312-BF17-1F0B2256535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BF0CB75-671E-4480-9B8D-4DC32CC381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B094CA49-09BB-45BB-88F5-54751B89F7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7D0CD919-18C3-46C1-9D84-D0EF6CE21D2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262EE713-C991-4B70-9578-09F8C41B78C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A87F32CC-8D0A-4D82-815D-B858FACC289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A45AB062-330F-469F-A7F9-8EF1A371110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AADE73CC-0E87-4587-BC05-06EA35D5A7F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ED9A6EE3-5B84-4FD3-A398-6C27B26D0B7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12A9212F-12E3-491C-BC68-E5E0B36240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78804535-C961-4669-9482-5AE1CB49DAE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B3908306-D5E0-452C-876A-B22E3441BCD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52927414-D292-4CAB-A1B4-3C87986AF93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CF794CD4-E0C9-4CCE-B0F4-6D238E95FC2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9680F2ED-F806-4FFC-B817-90542B13E57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9AED948B-BAC5-4CD1-A853-BAC247F396C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66A624B2-C1D9-469B-A926-D44763F2416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4847E840-9376-4644-9143-28FAFF6D703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4DBA0B06-E003-4F9A-A268-9E4C2AAAB66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5B2274DE-C1A3-4CB7-B1CD-9B85BA10733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44E8BD9B-D7E8-449B-90C4-B30DD55C423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ABFE9D0-6CAD-459B-9992-0EBB1727916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5354F59-4104-4246-A371-577F7A137CC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651AD44B-841A-4267-A508-D2AE646534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621B2D70-A622-4698-B425-9A025998ED0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5B75E3F1-89F1-4D7A-BAAF-9A3313F6AC2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CBD8C226-2CF2-4346-980A-3A798141B6E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55B83549-458F-44F2-B14A-979B6F68F51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DB0E346C-A23D-4838-B0EE-199F80692C8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CBFB6648-7D67-4D42-A53D-5141E7BFE29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7EBD6828-CFB2-4F74-ACC0-1944F3B961E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B48A416D-329F-4A1B-98EC-5B2E7939ACA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E4BB6423-0DD6-4B41-B513-7D36BFF10E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6F442848-2FCC-4987-AD61-F1B7FE9D61D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F35252C4-87E3-4B4B-AADF-A96E754BB52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ED6D12D-641B-4ED8-B1BF-50762BF3775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437DC8AF-F5BA-4D4F-85B3-1684D55E484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77D1185A-BCA5-497A-8537-2FBB5E7656C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8F9EDE58-1569-405D-B069-FFAB80DADCE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C18E7820-CF21-4AA6-A404-E37F74558B4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8AFCF8C2-870C-4192-8D5C-61B7F996CE3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BFAFCAC6-5122-4E5C-975A-80425350048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C3883076-040F-43F5-80D7-C6262A860B4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C0CE329F-19B0-40A3-8F96-0EF80BB811D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4652AC46-3130-43F8-8840-40F011AD8C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AB507845-75B3-44EF-885E-4D0C73DA978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8A25512B-40A2-42D1-A983-F033ED88054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C862252-E5B1-4771-B0C3-379F01CE26A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2992632E-CED9-46CF-8189-F6ABEC94D72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1AE9DE7C-7723-4539-8EF2-53D3BAD4A76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C2C0E256-E721-426E-B294-C7AD7CC2BF3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29D4EC0A-8438-4FEB-9DFB-CB49CD94219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BCBED7ED-C92B-4360-AE9D-170549C3CEC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44A0E6D7-2065-40BF-9329-E82305066DD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A35F82F5-0D5D-4F71-90DE-5818E999560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DB8C59E1-1A4C-44F4-9A9A-DE1BA40CE3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BE76EB51-D2A6-4E83-ADA4-FA1AAF645C5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8C1E89C7-6496-4AD4-9BD4-7D0DCD11756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2BB17A83-89F7-4DF8-8789-F380BB63804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7B985471-AAB4-4748-8F63-078C65C778D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9B200F-F449-439C-A80C-EE6D2385DB2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694131D0-C916-43FE-B2C4-CE953FDA696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4F17F381-6465-4B0C-9751-D85D8C70DB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C82A937F-90CA-4CCC-A378-E685EBD7A5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9ED0B87-5103-4AB8-BA01-86177CAEFC6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F1F4E37F-B7DB-4B01-99AB-08334B73659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23E6E11E-99DC-4AE0-805C-9A8B9DBDFE3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BCB02915-3250-4672-A36B-8DE0F0C65CB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383368DB-B13A-456B-98AD-B445F4AE233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04C03C1-E631-40C7-A45A-F94F2BBEEB4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BFEA088F-A71B-4957-AEAE-DA76A6027A0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BFE6FA2E-F779-4197-963E-26E252AA19A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F11E40D-D121-4E35-9247-91DD6962663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D4A2DE51-8788-4234-BE05-B20A9723165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2B30854-644C-496E-9B96-31AEF79EBFB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8F536264-47D8-42FB-9536-298D3BB1049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9E5DA3F1-6609-4C96-B556-7290FA3AFDC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B68B3C58-F165-42ED-9BEB-F3A0D7CE891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5DDADAC4-C314-48F9-BE7B-56CB7937271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BE334469-7670-4599-B828-5D82531B5F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60481905-DC34-4A4A-80BC-B8F3C516446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227619F4-3BB8-4465-BF6D-B4B5D579A36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28C22430-8BFF-4A59-A701-7275A78A178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CC1B8017-EE83-4D0A-8B40-687DB6DC0E5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7A4EBCDB-A45C-4D9A-BFDD-DC832B8E775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129540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34203DC6-7A4E-43ED-A6F9-9739BE5894E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533DC64A-C096-4B4D-86F6-42AD287B353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B5B31F4-CFC8-436E-863A-4B433B138E1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2DDF3645-450F-4143-9CC6-71B53356C0E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EE3C40E8-D21E-4A57-9768-019D51A278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60E8854A-61FC-47FC-9AE6-2B4C02ABD41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72155FD6-A19F-428F-96DA-0B6D5768E13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A8C7224-84CD-49C1-BBEF-86C7B067F3E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A494E650-5BE7-4491-AF90-E6EE420E8E0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CB604379-A1E1-4AC1-8859-3D969C6561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BB8BA596-99E1-48EB-A514-00B000A5A26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7FECE14F-D1D1-4522-B6F2-3AA551CFE2F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0BF1F9A0-08EC-43F7-9B19-9C837E3B080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36815945-EAC2-4C96-A3E5-4896805A1FD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CBFA0C0F-FCCF-4B81-AFF5-F2A493407EF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249555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6390F775-154F-4DAC-8E96-971CE5383A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4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249555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851C38E7-4F2D-447B-AFEF-C86F643C79B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4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4E9BCD31-BD0B-4A20-B17A-91BD56E7F15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71C000FB-56AF-434B-B130-BDAC308D9D5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D24C89DF-137C-4A99-832C-E78CDF0497D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6E90BFCE-D8CA-4BB3-9AA0-E90ECE8B671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F8E71218-811A-4646-8036-0B4D0CA3D62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7787D466-6F5C-4B4E-B563-E341C5BAA77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FE06B08B-9EEE-4F5F-9C85-E25F961D173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AB5948ED-E5CC-49AB-8197-E723DD25B84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28BA8A10-6A6A-43B0-851D-453C6DF1EC0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4C678FED-B57D-438B-B7C4-8F4DCC76056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46D62CD-8E49-4DA4-B82F-A497F6CA33D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B3F7AF4E-30EC-4509-B092-29B21E784BB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537D5D55-DAF8-4B1C-A697-09149A1EF45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72B5F551-3B24-4FFA-B35D-2023E820BF7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AA0AFB02-EB1B-4849-B5CB-D7B559DE559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872ED3BA-4ADA-4C47-B9BE-EC5C12043FB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1A0F5A86-5BB4-4763-9A72-0F3FBE25731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6D032FCD-069C-4B78-B39B-1B789D2A09F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9B7198C7-2ED5-4AE3-A8B3-564E1C1BA98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AA963A8-F624-4705-B66D-812C6CC0FE2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97877F90-75C1-407B-B9D9-03AC24EE876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E35669EA-9990-47FF-B38B-1E051A1BE04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7E88C7DF-DE65-4A59-9E5C-622F8A4FEDD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34DF015-AA76-47C1-B866-99F5A6FB030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85F3930E-F811-460F-8B14-BFAEDCE070D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D2E1FB8D-4CFA-487E-B4AB-302137D2587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A999FFA1-818C-42DF-B4B7-FA1CD4DA4C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C9E05EFF-1AC5-4A35-B648-72E23F9FED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BFE3032C-E430-4C69-97E2-0E0DCFE2C0F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18A0E9E6-86A9-473F-89B6-E329FFD85D6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24E0825B-EAE2-4A6F-AE0A-7982A139B80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519AC15F-A86C-4BCB-96A3-16161E80CA7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1ED0E508-7D29-47C5-9132-2E19DA6B0FA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C58FB3A9-2D15-41A5-8AD5-D40EFF1B005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B9378C45-48CB-4F13-B660-1DCA7CF5ED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378B10F8-CB6C-4AC2-B5BD-584CA597046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98DD1369-6A42-45FD-A8A0-A058B390722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E279B740-2022-473C-9B63-7AE635C52D0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CCBD8EF2-A41A-422E-B95C-883C54ADE6C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746A7B9-7BBA-4BED-8365-96D38165ED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AB48C06-E742-4EDD-BB5E-D48A5A617A4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D2D70832-9D5A-4751-AE59-6894C8C068D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E145A3E-DC97-41AC-B2B5-75D22EB2E7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28CECB6-A5BF-4B68-AE0D-950ADD08281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85B04DA7-03C3-46DC-B180-67B5BF269E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02B7A74-8543-4E38-A6CD-9417D955084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820EB4B9-B8DB-4650-A6A2-2BC56E63C06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11F89C09-BED8-4AC4-9F5E-1E613DD0E32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8C9C1924-9DFE-47FA-940F-C762A4C1103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0545FE37-E913-4B51-8AAE-357F0D1C519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22EF4B33-66CF-427F-9E87-391EC5D29E0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211455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447E7AE7-7608-4BBE-93E5-B94AA0314A1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0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CC16D0FF-8B56-4CF3-AE70-A02BD41F39D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1DA34F0E-6249-402B-B99A-03777C1F5D2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6018A486-3E99-4B8B-8A98-E93D4A4E085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65B9B19-591F-4B2B-8A6D-09F1225967E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D663F583-EFD0-4964-B2B3-0312BB944B1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D37D3340-0FB3-464C-9B0E-92B23103CB2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BC963BCD-65EC-46DC-94FF-B44BD830931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243840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87407C68-1922-46BB-841F-0F200B6A3FE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B75059B8-1DF6-4F04-AFA4-DBECED56D4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247650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F7430DDF-79FC-4D12-A250-FAB8E1F2DC7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12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5F0570B4-8D5E-4801-9C71-B6843360C45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205740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6F812489-287F-4571-9300-6C40397AE03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3DC079C9-0D3B-44E8-A4D6-8A677179882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2F6AD516-6BCD-45E2-AE10-1643E1E1A9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A09F1E5A-F573-4811-B714-4615F1C2BB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209550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EAABFEEB-1EB7-4DFC-B015-20408E64404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8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185</xdr:row>
      <xdr:rowOff>173355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68D71640-1CCB-4860-8EF0-C6082E31E0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4F2B3D31-7297-4112-A7FD-667D371BC22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6A994E26-707E-429E-A19D-6EBA3F11C4D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128225E4-164C-4805-B33F-AC7A82B30E0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E78F5ADD-2635-424A-BF3E-98BA8659F8A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32694C-E766-4421-A359-571A51C12A8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CDA227DE-BF38-4739-BA6F-0E94599A006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9633BC99-2BF7-4C79-8D54-72495940FF0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185</xdr:row>
      <xdr:rowOff>129540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AE0BB511-5815-4147-A70A-78A11B22308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5715" cy="401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EBAECB36-48E4-49B2-AA76-A97A00109B36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17EFA052-1CDA-4D8D-AD63-79061306B3F8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B7BFB7CC-C904-4A69-9ED7-FAC599E87780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A34B5FA7-7F92-4D11-81AF-6B09D73789D8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C6B8F8B6-6539-43D1-BBAF-58B82138B69C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DC588DD0-FBA6-4C6D-AAD9-9B4621D528BB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9E99205F-A59F-44F0-BD9D-731D147F5F22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ED49B03F-0FE3-42FC-A8BB-62B4AA7C46A1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A8DA9CC-DE18-43A8-A321-FE6E7ADAE8B7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D33C59A8-4769-4A9E-85F1-2DB634E0D30D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08AB3B1-C0B1-4B6A-ABF2-1D46A9C7EBB0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39A185FF-3F41-4D8C-8F0B-525A56F8CE0B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2D4F94-BACC-44FD-B118-4E286D13D717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1AE4E921-C34A-43D6-A005-D866A3CD6E1B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4E92E7A6-BE56-4122-ADF8-E598C330F239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24271EB5-8236-4899-9DA0-A14CDA33B880}"/>
            </a:ext>
          </a:extLst>
        </xdr:cNvPr>
        <xdr:cNvSpPr txBox="1">
          <a:spLocks noChangeArrowheads="1"/>
        </xdr:cNvSpPr>
      </xdr:nvSpPr>
      <xdr:spPr bwMode="auto">
        <a:xfrm>
          <a:off x="2026920" y="301523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5971C2AC-2774-4F2F-B58D-B3D926E2954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85CA0BD2-CB46-4C74-9A62-513982FC22F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57FD1F6A-3818-4E50-89B5-600F1689D2F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5B7B191D-50C3-43F0-99DB-B7CE3F195B8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860CE02E-25C5-4F3D-B0E2-1E4D71AE7C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24467BC-E67A-42E3-9AA8-6C3F8EAF16E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1305A520-A865-4534-A36B-07914FE7722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F0C1766F-221D-4AA0-ACE3-266D20D4F63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3373099B-310B-4186-8B8F-EE7C9F8DDC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59EEE207-7319-40DF-BB81-58E66CA9CA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81A9020B-BF5D-4F5D-A8F8-2FB65110E1F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CFB23F0E-5348-4E28-BABA-DCED75884D8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E7615ABC-5858-4B21-991B-7E53C8C753A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1AC4B1ED-72F5-44FE-BBCD-84C8AE5CB2B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A35889B3-AA6A-49E0-9931-CBDE62ED33E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2BBDC84F-C1E0-43CA-9689-9DCB0C6336B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54A7A7E9-B33B-437D-B89A-EA7135A87FE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152FC6DF-D527-4F01-8DB7-1C68820747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FC34B275-27C1-40FD-8356-6D77B94FBA5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9E994132-F717-44A7-A7B4-4BD276B761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AACA7977-AA50-4F1E-908C-DC3EF42576C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49C5B66D-8B10-463F-9325-427984FC99E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1034EA46-17F6-43A6-BFA3-A4FC06E7D01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26A8115B-1B97-438C-BAC8-47B479C9A3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4C599A23-62EA-427A-9226-51CB5F5984A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77324A14-5B36-4B74-B400-F7A222504DA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E83643BA-0AD3-4D8F-9AC1-CD50C43617B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74E9504-42B2-4D1A-BD82-1512353EA88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F27316A4-F37C-4F41-A6C6-2A8EE992677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302C938B-875D-4920-8ED4-A2C16D07D46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15F4F60-8F97-4A97-BE22-0F1AD305046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9239B818-8574-4A15-B1F8-503023DBCF6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10645602-5EE0-42E6-AE2F-A715336D9F8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1F047B78-1D08-4CCF-A449-B5A052365C5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C990D1B3-0213-43FB-B60E-288E55BAF5C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EF45FA5-6081-43D5-B4DD-356545D7B1F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039E167-C1F5-4848-A248-81677FAF650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54B25174-8F46-4786-BB93-813A9737245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1C376986-F716-4CBA-BBB8-4DED7630DE1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355E14B8-86AF-4B47-9FBA-102F0918D4A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E10C94B5-BAB7-4264-8048-9DB2D795DE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93EF5D9D-06A2-4D1B-809F-6E737ECFABD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42ED4414-595D-4682-9A92-AE45BC73A8E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ACDDC8E1-4BD8-44E9-B3F0-2F48DD476FC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D58C9558-7A84-43A5-97DC-8BC7FFA4AEF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88DAD796-489C-4710-BB92-1FFB469F59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86F1C102-FCA2-40C8-82F0-72294EB7D3C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197994FB-B8AA-413F-AC18-A2F9AEF5D2E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37E1E7F0-7315-44EF-8AF6-7053F9F1B8E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15ECA976-7AA7-486C-916C-329404130D9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186BECD6-2272-4DD1-8C83-1E27BF0258A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AA46E7B5-3832-4E78-835F-17FA57B50F4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03F8ECCF-F6E6-49E1-BC3B-CC7EF5AB45B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B626BB5C-5EF3-4543-A35E-EFA37F00DC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0D920353-4530-4C42-B0C7-43B349A39A3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953ACEC8-F9DC-42AF-9F5C-7584019168A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2DE75164-A326-404B-B615-F6BE1DCC9BB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DBE4C246-441E-4727-A5D0-B87E8D2E10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DCB231DE-81B8-4AEB-BFED-D94659198C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BDC134FD-527F-473A-9001-7BAC13ADD8F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384A8A8F-718E-45CB-A060-CD17D055C76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7B9F4E71-9D52-4F19-9E56-87D220F633B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4AEB78AE-9527-447C-85EA-B445FA41D60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59192C1B-5066-43D5-8880-3967F8716FA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083EC533-0FB7-43FA-A4EC-AFD7188E1A2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75F41A67-44A4-405E-904C-48D5A2485D8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C466CDDB-47BB-4332-A0EA-066B9DFE7EE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90425C76-E20A-4BD5-9EDB-EEF77279B67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414B61FE-1A19-48DE-8F01-A616BA2011F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B89A7522-A447-4B44-923D-8438EDA6AB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CBC86D48-1C85-49CA-8D02-221D9ACF4E3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D3D4E7C6-230D-4702-9048-FC9925D6A3B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3AEF99C5-A4A3-490A-8916-F5F887EF022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61CB8826-8F3C-4D4B-B042-8E3F9A37D34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36B974AD-FD77-4498-8467-C3D291B66EC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348490FB-592C-4ECE-910C-7DFF289542F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F786EF4D-D16A-41BF-9680-2B6F8FC6FF6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465C926-2D5C-4C75-BEA6-761D09BCE99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5126CCD2-710D-4C3E-9C85-E9198296DC6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EF53365C-D2FD-437E-9309-C59FDB8B44C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2EEEA3FC-BAEC-4FD8-A344-E92626E4BC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5B8F50EB-4C7C-4973-83A5-41268CB9A8C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9B3160DC-68FC-4024-88B9-41EA4EB376E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27FBAD65-0611-4111-A766-50353CA0867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C37797FA-38D2-43B2-BCEE-941F3F0A70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21DA8FD-0747-44A3-9158-89FF1C882E5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E78D6317-8300-4485-9F6C-6E2E84A5C97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D7D5E011-4518-4E72-85A4-E24051BF746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C6D96AC0-A431-41DB-8177-8D9592697E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1C85CD2E-E697-4853-8CA8-8588440BCF8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8F10A021-D3EB-431C-B5F4-BFD4EC89834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8AEE1885-1A0F-476C-93A6-1BE25FBA88C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2FFE5C29-F4F8-4911-AF7C-79B1097D788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C201F3E3-99B6-469D-B0BD-D0A28BF4CF4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58E5333A-B3A9-41D4-864A-05521E981EA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ECEE81E9-B1E8-48F8-8CCF-304E4A8C2D0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86A45908-D71E-45DA-A345-07E8A319B52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2B0F0477-79D6-40E4-935D-E815097A57B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941E9790-64AA-452F-8AE8-B822034DE84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3E132193-004A-4968-900C-B46EB6BBBC9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1D6F3D09-F5F3-446F-BF7E-6BDB93F10D4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D14B9F7A-F698-4C8A-8B04-607E3711B9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B560E482-916F-442A-8979-9B5ABB2F56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447AF1E-9000-4368-A8D7-BD6A205EC6E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AFADE8AD-0CA9-4234-B143-7AA549D5B4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8CB12B9F-3ECF-44F1-BFA0-F8E4F7D1A43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76730A94-AEFA-4E8C-ABE9-A32D676696A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23C835EF-E1D8-4318-BE34-BA709AB729C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802386FE-9B1C-4D63-A7BF-DFEFE62D05C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D87956BB-A35F-45E0-9624-8CEABD1E234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49E99566-628D-4AD6-B2CA-8A91AF4E3F3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9EC73A8-BBE1-4657-B865-71F3A3BD7D8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CC5B18C4-6C33-4ECD-937D-219500E4B8E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FF2BC56E-9206-4C06-B944-AF63165045B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ECFC5790-665C-4C3D-8213-F789E86ED9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78A9052E-B8D1-44E4-944F-B265A0229C9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29B3F5EC-E787-4A1F-A3E8-44FDA2067E0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F8DCB4B7-4145-42BE-83F5-89788481AFA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A1E76A64-3AE3-4288-8F57-7EE4A6B141E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59C2846F-845E-4F48-96DA-ADAB41B9E6F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A81BEB41-E211-414F-B0E4-67B58464FC9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4B405229-6F81-4966-B8A0-776F6D2DB19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63BD1A14-B7DF-4B23-800D-ABC176CA6E5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1428290-6078-404C-A9D6-69AA12AF2D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AAE7F8CE-62A8-4852-B911-05C2A30C1CE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FE908AB8-FE2C-4419-866F-F6DDF32650B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05D7478D-68A8-4644-8D61-741A9212F21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E496590F-3E4D-4A35-AC49-28685B42E1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0F9EC451-AFD8-4858-9058-EAFF1C480B5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C4DF6F06-6EBC-41C4-B7A7-8A62361F48F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F8BB1E0C-46AD-43A8-8CB4-3F86BED3902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984C9A3C-596F-46D1-9722-B4698944431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487D26C0-CD07-4307-8D7D-02847CD8784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4D52D5A9-822B-4498-A089-73A2B53B423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9810FEC0-A5DF-45F8-8DBA-1F5EEDABC7D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78440BEA-3485-43E6-A04F-C26E9957FE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F864BBDC-75F9-4561-9B20-3240A58528F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0FA9D6E-19DD-4954-8DB0-6E2A69B17EF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9E1DBDDE-3DAF-4EEA-9315-5D2EDE8B6CF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6B7DA636-7CD2-4177-878F-922B7DA1E14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7EB587B1-1C09-4100-98BA-5F3D94143E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FCC61F12-9162-4E82-AE06-EDD7FAA6503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AEBC8D3C-F406-4C97-BDD5-249E7E0F2A3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837B2E0F-7444-4BC0-9862-4BF8655B1F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80783A8B-440C-4848-B48B-339DD1C1656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3431C6DD-3B6B-4B68-87F9-3B7AC7335C7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682A8A9-A57A-43D4-BECD-B6522842AFB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1FF0C96C-BE3D-479B-8AE7-B8E5C26829F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D0FACEE1-40D4-4CA0-936F-967AD925E2D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8AA1BCEC-13FF-46CC-BAE8-2DC90F16DDF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656A1053-C23A-41D4-9A56-682F66C6F95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B1C0284-D098-49E8-A17A-09D97BD87EC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03BC1C92-A51F-4171-A827-594867697F6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7AD67D0A-C98E-435B-BC18-265461AB84E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BD3BBDFD-C6D3-4AB5-897B-98D3729EF93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3A7C7AB8-3CEA-44B0-9D04-1DB0E3A0A06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1BD09815-E213-4625-B7DC-17F6EA716F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8546B205-1912-4712-952A-90471974F0A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253154F7-7F2C-454F-98BE-EB66C0372FA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C77F1161-AE53-451F-885A-E20023B854B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981C8B3D-5973-4C8B-AD50-D78BF78A509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B42EDB95-3168-48FD-8141-7CA7E286049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EE409237-EE0F-4758-BA58-5FE0D997DE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C874642-9904-4BAC-A8BB-A6D2530B837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92D9954-DA76-4903-AA01-E66DEB5DFD8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92D10697-CDC6-4FF2-B0ED-AB20F4249DA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76619077-C951-49B2-8B1E-2B8B6CE86F6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8CE7B50B-CE52-444A-84A1-6C0DBD9FFEA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D756A4FE-802F-40FB-8BBB-92F374DDED3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D73431F-15A5-455A-81DB-BCCD5450694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796DE419-843F-4E93-B10F-82A77C81533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CD6F80A0-54D5-4382-91F6-B9AEF4D1F53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3379E6F6-CBAB-4617-BEA3-4FF17E218C5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C8B686D8-1D40-4EE3-9C72-6C10A06729B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ADE20EAA-9E0A-4D2B-9183-4F04CF8DE07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7142C4BB-CC73-4DCB-B220-4C84F68AEEF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BF855B8-F426-4C9A-981F-0164298D6F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BAD4DB51-6EDB-4AB2-B8A0-2B0C57C965E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FE92F009-2B2E-4179-9EE3-AAA66AC56F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B37BF193-2144-4CA7-844F-99CCE764A91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0E8ECF48-EEFD-4040-8B66-E459F38797D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691F0A74-F861-4B1F-BD19-D29589E4A63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AE9FB6B9-97EB-4A21-8749-FC0056DE1E0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70841BB7-C09C-463A-828F-F7F5850DFDD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599FBDF0-FAA8-410E-90C1-3EF511018AB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E5C2EC1B-0963-492F-AF88-289E655FC62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246018B6-B5A0-4C21-BA63-5B528A1F050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DD629ACF-0BC3-4F8C-961C-992DC58708B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8B94CF2E-C68D-498F-BEE2-BDA8E32E6DD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8A7BA827-9605-492E-818F-1B265531DB7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D30139F8-9A9C-423B-981B-E8A3F394E9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748B1EF0-EDC3-4237-A442-AC3E344E1D2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ABF3349C-6F2E-4C8D-A130-A9CDE456DB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DC07DFB8-1768-41C6-95E1-F3387BF44D1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E3DD1FA3-A07A-439D-B80D-D6A798B5AF9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7B033865-EC57-45ED-A5F5-F82995380BE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BADBFE44-CBDF-4DE4-BB7D-74DBAF50A2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4519D637-DDF4-49B6-B0DC-E12C9E0EFB3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01E886AB-9D86-48E8-8325-6CA1F022369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8FE0EF5A-5179-406E-824A-9F6CDBD7D34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036A9824-A06D-46F4-932A-713C8E4247E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487744B-7439-4876-967A-53B6E56E96C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AB1B58B5-EC06-45DA-A224-65C407C83EE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A53BFB81-FC38-4307-A97F-6B163B0DA3B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80B71461-833F-4A92-BD87-4DD9919DE05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7D7E231D-0B04-4D68-890A-6EF1FB3ECCF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4D0BC8B-3E31-461D-BCCA-F08EB89B142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10183103-0AE2-4CF6-AC29-AFAABBDEB02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4B23F62F-600A-460F-B4B1-1780FA33E30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399ED8EE-56D5-478C-BB65-FB885FDBA39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8E6B8407-C1E2-40AF-B0C0-4AC0CCAE9F2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A9FDDCAA-BABF-4257-9889-34A0A764B32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E32F6B06-DA23-4C61-808B-6C13E9500B4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F4A8B0DC-35FF-459B-82B4-811ED30EAC5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3BBD9232-9F02-4258-90B6-4A64F6A887A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18ADD0CE-A0A9-43E2-B91A-8EB70CFC03D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A84BA692-FE09-4EC9-9CF1-85D465CF335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71B9AAF5-C8A8-4B55-83C0-08C20D94816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8901E8E6-4D0A-43B9-B52F-0552FD84B13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1E0F5B7-134C-4D59-9E25-CAD866B1104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529E447A-56F4-47AE-B0D6-A7EE307A0B1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1FDC2A39-8F63-4BD9-83F3-852A0A4E5FB3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C3D563FA-51ED-4023-AF57-B5DD9CB679B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FABA9012-1D99-4FC0-B05F-66A40A46362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70D8F404-C0CB-491A-98CE-132D2B0042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3736BC66-72BB-403A-BEDD-BD8C1BB6595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9E818E52-7E5B-43FA-A960-88C32FA3BB4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5C0078C6-E94C-4FE4-B4C9-072ED279A25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46E81874-BD25-4963-BFAA-3F755F18092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43C757BE-9E94-4DE5-94B7-65F323DA80C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302E6D93-A587-44E9-B25F-E22EB400AF1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C3D9DF0D-706E-4BC9-AD7D-7F01A84C762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8C00D744-5D5A-484E-8CFD-4A4BB20C12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40F9A96D-A168-4C7F-A34D-9754C59B444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3A783803-4483-4A2B-88B6-208F7330E76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41945843-DFCB-430D-BFAE-3D4C068355F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A66858E9-AE2F-44A4-915A-A1B36D43A54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4D42F263-8A4F-48BC-BBFB-1F127169DEBB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449E7546-CA39-4F98-BFCB-840ACD73F6C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8E3BAF41-6B92-49E8-9660-0D381329825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D2BEFA0-7470-468A-8504-B0E38830487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74B9B00E-DB0E-4F97-B462-643BA406E69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D4B139A2-FD4A-4F1D-AB71-7FE29F6EB19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7B41B1CE-C59D-4C8A-83DD-1982B21891A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AADA3325-0E69-4590-B391-816C95B7006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72C5BB08-BB81-4C34-B74A-E49DE015861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5D832D97-5CE1-47E2-9196-09E4B0E0272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5F636FCC-0847-4174-81BB-A87BBC97612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82D5D353-D8D3-4081-A59D-37AF2865CBD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C43C671F-6FF5-49FA-8937-1B020A3EEFF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E5296CF-21E4-42D0-A6CA-51D254646A7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458647BD-8554-4A13-9C3A-D472027BA78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F551ABD9-4F58-4EB2-BBDF-F998A0532A0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BCCA032F-6B9B-4848-998F-58F237C75ED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05F58D61-FCA6-4209-A372-CFC6D695FB3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6AAEC735-A897-40D0-8143-D4824E12F48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D8829DDA-232E-434E-AE85-802CE17D16A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7847B8F5-19E7-4AE3-9B9B-71522C68DD1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64FFA08A-63E6-4D1E-9F04-7241FD0E3A8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413773E6-9EA1-4062-827B-29F4A3D6554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C678EBF3-F125-4CD6-9205-F0B898D56501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6E9A807F-8067-4674-B16E-2051CB01B4F9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EEDC5E14-B0C5-4EBD-851E-CF79F3EE9F8F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367E40FD-A2CB-4E37-AD49-A5E135BC7C5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D79E288B-0ECF-4F06-84A3-9C515F9DADB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A2E6DBC-C1DF-4235-9425-E95E25B5E6A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C17A7973-A3C5-464B-915F-FEEBE1799DC8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50D67E73-9468-4BAE-A281-D22EF816A49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DE0E9BAE-8DC6-474D-9795-D823E030DD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5014878D-99B8-461E-91CD-D1450C7B513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ABA0D489-9550-47CA-A8F1-5D58E1BD067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08DCB31A-5835-4FD0-ADD1-C9E192C2706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2A144765-B3D7-4AF7-87E4-A25CC40F8FF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FA440534-11E8-472C-B41F-296B5A605F3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C3CCFF43-E1B4-44A8-AD4D-59B7D1D0198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AA30F75-8A08-435E-9CE1-57A07E3EB5F7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D4233065-8B5E-444B-A22C-364FC1271DB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CDDA0537-1E54-4619-8238-148660108DC0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F9214490-68B8-4F33-B57D-322CCB3B500D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736AC927-DE86-480C-A214-A4423C1A2D7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9A1C4713-6715-4B28-8507-8537E9D7F47A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F9C7CAF3-DBDA-4F66-A9FC-B15AB0E3141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719FE5DC-F7E4-4F57-8A37-C4671F56DC5C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7207D43E-E325-489B-AFF7-04F23D70FE7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1499D5CF-EF30-4ED6-8EC3-1351F7BFF995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188D2B20-6445-4F91-BF4B-EFADEC832854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F0C9DC52-664F-47D0-9695-FAF99C089142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555197D9-1E88-4FA1-84D0-3F9E4339E826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DD8A9453-3638-4D42-A2A2-1AED1202E16E}"/>
            </a:ext>
          </a:extLst>
        </xdr:cNvPr>
        <xdr:cNvSpPr txBox="1">
          <a:spLocks noChangeArrowheads="1"/>
        </xdr:cNvSpPr>
      </xdr:nvSpPr>
      <xdr:spPr bwMode="auto">
        <a:xfrm>
          <a:off x="2036445" y="301523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D7B11C7A-9CDC-49E0-96C9-645CBED90D7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A5AA21B2-B742-4BA6-AA46-CE27F4F53E6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AE10A3C2-8395-4401-8F45-A3E8A35F976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4F9E2A48-09E3-4029-A65E-46BD6079E10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ED1B145F-1EB6-4B5D-B1EE-261564235A3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D054BE28-3CBA-4FD1-B0B8-844686B4228E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405B9A8D-27B0-4BB5-A7AF-99B90DCB688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A6619A51-8D28-4A5F-BBD6-E8FD2A856E0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1D70E9FA-E2C0-45E5-996D-9A81C33F8E1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22B07A42-598D-4E3E-8A40-0D6723EB118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52DDD5D-0F50-4DCA-BE80-E4CF459A8A4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0557BFA-2C2E-4842-B8AC-68E38DB5D37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3AB7AFAD-2227-470C-9705-8772E4495C2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FA7717D4-14CC-4385-B04B-10721AD06DF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B0ADB8B1-5181-4CA4-9B3D-7DDAD7E3C86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FF0F3A65-B4F5-47E4-A8F2-C85E5F1FA93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72DA6791-AF2D-49D3-AEB2-EF82CC31A53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B96E0174-CCF6-47E9-8C29-DEF85DEE0CD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9C1C1477-66FF-4163-BF63-4F10CBE8717B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3BBBD43D-C24E-48AD-A313-7AC65FDE901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E853D238-643C-45FA-8B42-B58082434F4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5F94438-D33F-4F99-988B-1A5472F5F83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E4017D4C-AE97-4C79-8F29-9D1AFE1DEAA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C4543623-3958-4A21-B593-6ED9FA0FD1D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42BBFA4D-E7B9-4989-945C-48B650CE15D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83AC90BD-2984-49EF-B40D-CD81D9E37F8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18DA7CE-F649-4907-9190-61FF1E0C826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28D000A6-D323-4396-BC59-17C3C9EE09FD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72BB3A9D-4D9A-4B54-8A25-7903859069C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6C6320D-34DC-4778-ABF2-CEE588843FF4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CD45E7CC-AF53-40A3-9086-18CA8B663B1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C5B5125A-35B8-4C99-9B17-6F7363545E4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951C47-7978-4885-80EC-7A50F50E335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C52CC2D2-EE00-4C8B-BFB0-77BF192A515C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22B31A09-1AD7-4A2D-9FFB-403AF2D04DB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D35B1A85-BD4B-4972-8CDD-6A994994AF4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BB8FD2A2-7900-49EA-B8E5-29B3429450A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A72C194F-D827-49A5-87C2-2E96E1F53A3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DF0C2696-A46F-4116-A6D9-80DB44871A1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D66D3FD3-539A-48A9-8B2E-3C19C8812B7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29830439-3E39-405F-8E2E-94106B83899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225A617F-D5DE-4106-B6AB-1A156AF7A8E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38D589EF-ECEA-4CA1-82A9-1464F6C829E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1463E90-E05A-4C0F-A1E6-476328103AF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FD66755F-9BCB-4B30-8541-D29EDC4BE66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BEA10B48-1663-489F-B040-1D133DB52AF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C32EAEAC-4AB7-4277-8D07-345B6489FFEE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39AB015D-16E8-49D4-AB2D-52AB5EC6B8C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B9097B6B-56C3-492E-86CE-B40A4A0E6BA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A286AF3A-A86C-44AD-BB03-0F067B54FED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598EE1C9-2CFA-4333-8589-0BA97496BCD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1B712B91-BCB9-4B07-A6A9-1FB2D702A44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7E939597-9582-47EE-84A8-5D31E3D3A1D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18DE5F7-E85C-4713-8625-8698425739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B350922C-E848-4B13-A20D-9C964AA416C9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1F3686EF-1CFD-4A0B-859F-0D324356DD1C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4874CAF3-76C2-4DCE-91CD-401ECBFE3A6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D95EBF87-AAA1-4000-B609-26F791A7012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2347E4F3-685C-4F10-BCC6-6B359097B15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A592A927-24D7-4BE2-A394-D86B38416D7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4F4FF271-4ADE-4419-96ED-E566F0C435D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AA6087A8-FABC-44FB-8F9A-A6E9E7DEF894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59C34A0B-AC70-42CA-8993-BB07FCCE7B5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A00B2DCA-4F70-43EC-919F-205B69DAE25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734C56BA-FC05-470F-81FE-DCE1FB743D4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C42CC1CC-363D-4DCD-9F6F-848021A9A53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A4A74DF6-4D30-4B55-ADDB-BA1C42F1D35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DE2672DF-3D06-4EF0-889B-651FCCC472F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FD5AB8E1-5B5B-4660-8F3E-29BD45A5EB2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16AE9D97-2C06-4E2D-B5E8-2CD99B035E5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ED8F7222-D8FD-4B8E-B0EE-629B05CCA8C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FC67A6C1-1D56-4760-9B83-460B3EF69908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2B034C2E-696A-4939-9AB7-A01FF4645D4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968034BB-20BA-4F56-926B-3DD334EF7EA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EBFB80C5-C1D1-4029-8C90-E65A2907B59C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FDB32F-32F1-408B-8062-DDFDE7825E9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AC1D7436-69CE-4B9D-B791-FB217F7BBB6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2E0B5C14-89DD-45DB-B7EC-182BB92AE16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7833BA8-3480-4194-A71E-276F7E014A0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F535744-15B4-4CDE-BA12-9A9E72CBBE5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12123945-67DC-46C3-8FE2-41DE131B428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E352EB98-6C11-4C2C-A277-E47B8F6349C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6D4DEAD0-2C1B-4970-9077-EB8661F4092B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1B810ABF-B532-408E-B36A-7D86D0259662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2861CBAD-3A2F-44F5-9DCF-1CED3E71F9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96AC0972-3373-4180-A254-0C990891E25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42D9B654-D4A2-4395-88C1-F8283F60217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B6AE77D-7CB8-4BA2-9045-68E9A0021D2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342310A-93D3-43B5-806D-7DA489B6D8F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51FFC101-6D14-4427-A9E1-37E161751C3E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8B31F03B-7DD5-4598-83FD-497269C8BC1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A9D7C2E-2A51-4A74-9D7F-937EB5C715C8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9A97436A-4433-42F4-B9A1-2EEF27B460D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6C58D6A7-AA9A-4625-99EF-CBAEA3E580D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4FC460E3-BF9C-44BE-9B98-A89DB42D1DE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BC2E6386-5DB0-4B0C-A2BA-122203BD7B2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DDB5E053-16B8-42EC-980D-F3E0A02C3C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F23F4475-7476-413D-88DB-0A457F112BA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67F7143D-BDD0-4526-8974-D93B3EE5B31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576CE06-C752-4509-B49F-186FA88E093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1AD650DF-D2AC-4EB4-8F43-0DE98AE4113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2B4D2811-C239-4035-B6D4-334F3AE01A4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7AEEF1B0-2811-4C75-9C88-AA03B9361415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CB5B305-9D4B-4708-94D9-1FE53C02210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3BA66C39-8315-49F0-B77B-E192A43CCE0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A832A799-55C8-4F2C-99C6-9564E96A432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F9B0EFA-C2FA-4415-A84B-6E5D6DA724B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B2FEFF43-B06A-4FAA-9892-E27247FE91C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2B69E02B-541E-4063-8092-7D3ACC02951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7C7F32AC-0103-4EA1-84E5-8C8BB03B4F8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9E4ACA52-C9DC-4470-B985-1822820ACC0C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C8F70FB5-8DFA-4CE1-B6FF-E2CF236CF757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BD56F981-3A96-4A70-B323-317DC5302F8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18BE77FD-7C8E-4D1E-B526-DDB32ADA9178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3E161E02-D7A6-42C0-85B2-F81ED6CE0F8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3786EAA4-E324-4642-AC47-BF2FA0F273E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9846A601-09C3-4630-9B16-A98B29D463F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B5886C09-0F5B-42FA-9418-9DD4AC3586EA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BA50C6D6-4815-48E6-9BAB-FE698CFCB61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A61E23A8-B5F7-4C72-A804-C6FB4569D22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3DA33590-37AF-4E43-BF71-4C0D7B1EBA4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5D5526AB-C1B7-49AC-B51C-37087806A1C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2330154C-2F6C-4243-A76D-16FBAADD37B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6F42973F-B976-4C62-B1E6-2A97C0D119D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47CE893E-6CAC-43D7-B0AE-93AC8C956E9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72E0072-DB55-4D56-BFE4-BFF5CFE255C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B856F1D6-EB8A-4BCA-8775-20B72778D99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309EEE2-A5EA-4ED8-86CE-EC773D801F5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B11DB869-AF16-4706-95C8-980039C57FD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3C5C102-D594-486D-97B3-6C4E158A493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53785D24-3195-49AB-88D2-B39C862C53D2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18B6C1FF-8E89-4703-A6B7-44FBEAB32C8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2B3F9BB-9F0E-40F1-9DD7-B9B82F977898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EB627E22-56D3-4C21-8048-3C3D4AA942C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814CC129-F47C-458B-9DDB-C378D06F3184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DBD09827-659C-4BE6-97DF-E9E40F5403A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6F699C03-946C-4B40-A213-9239DDD59DF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B16B9742-10A0-4418-9EBE-F8AB217873B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B1BDB582-A428-4167-AD88-94739710E388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98F1BA48-1454-4969-99C4-D4A04A9A6BCF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F9D58150-9751-4CF0-8222-51A7C35ED0D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F88811A8-B5CF-43F9-81D0-6F25B9C0E12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9BF1FF9A-22F6-419D-AFB6-5DFC94B64A4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6540FBE0-3FBA-4F40-BAC7-F79F72737CD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A42E31E6-2F37-4993-9B8F-6CF5227E282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2A7F5F25-40AC-476A-A34B-E1075255CCBA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C684F9FE-7B38-498A-9BE1-6EDA6EE145C4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0C3254F-3ECD-4973-A508-F428113CB7BD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A8E93D75-1D0E-4DDC-BF99-9B9D6ABFE06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2DF6A9B0-A8DB-4070-8D67-710E88B3D41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6363598C-76DF-4C43-97AF-2FC650B6E7B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782F56B6-8DF9-49D8-8D0D-924431468AB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442379C3-CD49-4168-8874-F15723FD78A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07FF7D0C-B86D-4946-A056-EF13768B36D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AF501DEE-8876-4544-8D83-92CE07C33D5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67443CAA-FF4C-42DD-BB5E-299B1F67D93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34E141C3-74A7-401B-86B3-62F6C363E1A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5C81D022-DB21-4627-8156-0F6F5FD1935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9EB708BB-D6F4-4569-ADF3-D176AEF5EED9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92F2F015-14DC-45E0-985D-E3662EDA7F6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3E517D8D-ECDF-4F5A-A2F6-F2C8CFF519F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9BA518A-7717-4546-8DD9-BA8DD07FB85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3B48470-EA47-4DF0-A097-13BD87F8106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7075238F-27CB-4A1A-BB66-A769BA46D3A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59AC142A-FEAB-4923-8443-76549C4C3F0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17C8BF67-8EBF-43AE-BE61-0E216A2AB5D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371F6B2-902B-4E68-8AA8-F00D8A0BD99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8AD0C78B-B02E-4793-844D-23D8C45942C3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9267F6B-4D2F-4FC0-94B4-E48B8D6A5B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47695300-0B77-44E0-A63E-67953B6D3E3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1EA863FD-6539-46F5-8C6D-B6D5FBA909A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8ACF91BD-0B53-4F5E-BE08-13990C7511E4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9CCFE4A-8611-4DBD-8042-8969CFE0F34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3ED5DE7-05E8-4C6C-AE90-C9D97E986432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AC639449-2DCF-482A-A5E0-73AC3A24231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CD6502EB-749E-4F0C-96A1-7DFAC5C1994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FAEDE1E9-A781-4A8F-A028-966C587E2819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A1E98AB5-0CC0-4834-BE5D-67B1423DA56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97DF7D4F-05D6-4F7E-8E75-9E592CE6858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3D4EE75B-E753-4D2E-9B35-40032064871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BFF66AB7-33AA-4BDE-BEB9-A15C517E14F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FC6624F6-B4A7-4CF8-992F-BED381B807E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33789239-5A96-4098-8440-ED8C232B537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F238077F-B926-46D8-AF54-C2327376621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6A9BC55-19A9-4EBA-84F9-4374F9EECEB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5C30AF95-6120-499A-8419-6962CE2A6A7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EFA2652E-EF16-49A7-990D-E8E178F89D67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B17F3890-9F14-4959-B130-D52B065A278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680B33BB-E033-45AC-95BC-F8C98F2827E7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1164881B-3800-4C4D-A2B1-BEB9E883241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966914D6-E680-4D9A-9215-F5EE5FE760B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85F4A433-465D-4E91-9317-DD054C7A86E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67DA6908-9DDE-4AF5-B696-E093D328B4C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00E469A-47DB-4BB7-8425-7538301116A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9D51736C-09D6-4DD9-BF9D-5A9A3A11A8BA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B4B06899-0109-4126-99CA-4F7136C2E44D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B70E0A5D-F27C-4B24-AB51-9576A51BE23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E5625C96-B8C6-4B75-B7FA-15B1990C9A80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ECD8EEB-B8A3-4FD1-AAC1-7F301F25C72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33346C62-B35B-431D-BF89-13B244283D4E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56616269-EEBA-4359-AE00-65E2037E6F6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4C0CD21F-DD45-487F-8F75-1577713A30E0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5F83694F-3037-407E-988A-3A191F38A156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D17E136D-832E-4F9E-BB17-5CA1562BB84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DBEC411F-058D-420E-A6AD-AEFA2271AFA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5AE22D67-2B2D-4AEA-81CF-9E43A60681A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31050782-68FB-4EE9-A74C-59537208AAF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7A1BFBB7-C5B4-4CBA-876D-97BC4881AD2A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B2F15368-AD44-4404-BA50-2CB82C37052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98033C70-1B3B-426A-80C3-3977681E140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98337C1A-B8F4-412C-856F-7DE24FEB4A7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F77E046E-8F2C-4BF6-931E-F47329CA24C1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B596A3FC-5F4B-4868-B784-DCA745324A25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6EDC9487-0D31-4B79-82E1-FD184E874872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EF39B56D-22D3-464C-9240-53CDA84C1885}"/>
            </a:ext>
          </a:extLst>
        </xdr:cNvPr>
        <xdr:cNvSpPr txBox="1">
          <a:spLocks noChangeArrowheads="1"/>
        </xdr:cNvSpPr>
      </xdr:nvSpPr>
      <xdr:spPr bwMode="auto">
        <a:xfrm>
          <a:off x="2065020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E59430EF-7AEB-44A0-A0EB-CB448BEC5C6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7B2A083-4E58-49FE-9AB9-DFE54439D5CC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8E869DF8-3D7E-4A52-95D6-7B84D704551F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EC8EE7AF-AC5D-4F86-8FAB-6CCCDEED4D73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1432EDD2-B215-4DF7-AFB8-CB7A3FE1F4E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DFEEFF3-FD44-45CB-B30B-F556F5D0477B}"/>
            </a:ext>
          </a:extLst>
        </xdr:cNvPr>
        <xdr:cNvSpPr txBox="1">
          <a:spLocks noChangeArrowheads="1"/>
        </xdr:cNvSpPr>
      </xdr:nvSpPr>
      <xdr:spPr bwMode="auto">
        <a:xfrm>
          <a:off x="201739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348094DA-B06C-4E9A-AE6B-4E0234CB619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C2FEA1D-A23B-4643-A034-63239AB1E80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7E7F6FE1-482A-4F4A-B231-8D2E9D5AFA8B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ECE0698E-E9DC-4E59-98F2-9E2DC66246DD}"/>
            </a:ext>
          </a:extLst>
        </xdr:cNvPr>
        <xdr:cNvSpPr txBox="1">
          <a:spLocks noChangeArrowheads="1"/>
        </xdr:cNvSpPr>
      </xdr:nvSpPr>
      <xdr:spPr bwMode="auto">
        <a:xfrm>
          <a:off x="2017395" y="5727954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34708D6E-DEE0-4646-A137-11D11A419758}"/>
            </a:ext>
          </a:extLst>
        </xdr:cNvPr>
        <xdr:cNvSpPr txBox="1">
          <a:spLocks noChangeArrowheads="1"/>
        </xdr:cNvSpPr>
      </xdr:nvSpPr>
      <xdr:spPr bwMode="auto">
        <a:xfrm>
          <a:off x="2017395" y="610362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1EB09D61-A2F8-400B-B55D-17E4E86EB04C}"/>
            </a:ext>
          </a:extLst>
        </xdr:cNvPr>
        <xdr:cNvSpPr txBox="1">
          <a:spLocks noChangeArrowheads="1"/>
        </xdr:cNvSpPr>
      </xdr:nvSpPr>
      <xdr:spPr bwMode="auto">
        <a:xfrm>
          <a:off x="2017395" y="5868924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1BE4446-6035-434F-8D24-CEC111096A40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46015ACA-9B85-41A0-8DC0-6FB36BACF433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6675F6DA-C676-4FF0-996F-57516077824E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E877F0E8-66DE-4A5D-A68B-4F47D89FC73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E4A8543E-45D9-4034-AA9E-8FCD53964061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467409D6-CBE5-4F11-851C-9300F78FDA67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1712E0F6-B085-43DA-A988-15DFA6385D25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B626A4A5-5A78-4F84-B9D5-9BC3D9E7B948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23364B1B-83A0-4C25-8FD7-6F711AE69747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73FC0D0A-0013-4116-BE84-C1FD40E90353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67436639-1B3E-4C4C-8923-848980F5B7F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3279BE8C-DB0A-484C-8AD2-CE520904E88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7ED9A948-4A6B-4873-AE4A-4F890BA9CC6F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C4649590-6D37-4DC7-A706-27EF60FD6275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2649059-F103-435A-A848-8104D13B96A0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F6C3B6EF-4C7B-431D-A29F-DE7CC7D4092A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737F5F32-130B-46E9-A02F-E9D519DA51D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629D34A4-F062-44E0-B18D-15E28071F3C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CD47B0C8-A246-4E57-98DD-5AAA2BCB49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EC999B0-1D41-44AE-AF5E-803720CA74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B407196C-C506-4E0C-9C2C-AEFFD3AC12D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706FF3AD-73FB-48A6-A51A-B9971274007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69FE6E7-0A3F-43D0-9DFB-3437E41C63D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512B939C-57D2-4A39-86DF-10D2F7EB148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A33A47F6-DA67-4C39-A473-476D4841BC1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539BAE59-9C8E-4975-8264-0D312331C72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3FABBC59-7256-4F6B-9243-B6CEC54293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4DA098A5-07E8-42DD-A711-DD9D39C831F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31154660-E16C-4206-886D-3FEABA55BCD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7E924C12-E5A3-4026-A6E9-6E960400947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85C95926-AAE1-4881-BEB7-60589B54F5C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8F7AFBC5-82A1-40F4-97C4-766C361C4A1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3A4F35C-7DC6-4C6B-A183-34A30F16D4A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86207F3-3374-4010-AF1B-FA993B5B889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AB5257C6-7706-4D57-B9ED-E3EE5FCCFF7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EAD499C6-F1D1-42BB-BEF8-6EBE0968C53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980220FF-D36A-41F5-89E3-F0C49FC4487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00F6CD53-FC37-4EEA-8D42-A21DB544863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410B1686-562C-47FE-95B7-F147F71F2AD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EA6404BD-9729-4FDE-BC81-8AE42BF5006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7BF36CF6-1FAB-4F97-9EB4-C46A909274A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A70AF333-B91C-4731-AD66-3F8D1F21DD9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94F21D5-F0E8-4C68-9969-3DA567B1DC5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74F47DD7-BA18-4C5E-AE6D-AEEFB3C126A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6D2FE574-2843-4DB0-A591-9842D5679F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F026861-DE6F-413C-9AEE-B9D82ADB94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7FD8F7D9-A5DB-4457-9DFC-DE8C01AC819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70F4BDEB-9EC0-46B3-96D3-EF89A039D07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589AEF10-2574-4DDF-AD06-6768A1D99DF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F7BC9DE8-F304-48F2-A191-F8649CC021D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8D393674-271A-41CB-9D06-45F63757050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7A3CB037-D8FC-4084-A083-F9E2DF769E3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36EAB576-5E81-4A6E-BAAB-80775FE466A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B55A36C5-ACE1-4DC7-97D5-3C86E7B04E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9E05C953-429C-46B7-B12C-8F2BE7985E0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E47EA91A-00DA-4C34-99B7-39164334221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43BD4AA0-A00B-4F71-A0AA-DFF8258D4C5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6A4E1470-8126-4845-919C-B2F8AD4E557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2274CB21-0716-4B39-A126-ADAF2453801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057DE885-DC7D-477D-A02C-A96F62B7AC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724437D5-34E4-4F65-8761-E366F246D9C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818DEF54-45AF-45E6-8082-65DCF8FD0C5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1A2A7ECD-A282-45D4-AFEC-925C2A4406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308575F5-F53E-469E-808B-22C2732E182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6FC0ABF5-C767-4369-9BFC-FFF9FB21AE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4889AF6E-FA74-4CDF-B8A1-57AE8B4FFDC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A7A92C58-8A27-46F7-8F00-403DDCE5390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20280F6-6B61-41A6-BFFD-9799993F67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76193D33-5FFB-4D5C-BEEB-E7EEEA5DA9C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A35157E3-9CB9-4E87-826E-39D595FCDC2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D832A7A-849E-4DB4-82A6-334ACCBA091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464A4619-F44C-442E-88F8-1D560AD616A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FB9C174A-ED75-41A0-B714-AD50943BED1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2917F56D-270F-4CFA-B809-B9A862D9D12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DC52BAE5-68F8-4CAB-945A-9C455A90B4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FF1A201B-0871-4509-BA13-9443B6B63EF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99C8A71B-C569-4233-9356-56CB1FF117B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F7400B1B-10F8-4F1E-9777-7BD81E01A7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CB07D1A2-A431-40C0-BA7E-A1C9A33CBE5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4269C361-3258-4B9A-B575-18EEEAD244F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4D048B26-C506-4FE0-A9CC-E4BA870F328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ED6CABE1-285A-4560-8282-B4AA7A0CCFC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618D8B45-9A4B-41AB-BE2B-BBA81BA9C1A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3DE0F65E-20AF-4635-89AE-CA2BBC4B3DA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5FFD780F-0334-476E-B63B-E744C78312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BAFB8A2F-E5D8-4EB4-9520-1B09794B380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995EE46E-1EEB-4EF8-B45F-66E218519B3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E308336A-EAD5-49A5-B01A-3A9B7F4E415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91C366E6-87AE-4BE0-AFEA-C25EE976FE2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9C90A69-C644-4817-96D1-8140BD4BD92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B374226E-F0B0-42B6-BE33-E63CF05774E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5CDAE415-6451-4EF1-8F92-95CBCC8FEE6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362F05B3-E48D-4F9D-B7F5-7C5A7823D59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1B204B61-069C-423D-87A2-70551FCAE93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69EBAF14-EC38-4187-BB7D-038B926C94F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6313A9F2-B993-4C88-8CC6-AB2013E38EB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1776FE8-6E6D-43E0-80C9-AE92EFF293E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370AF94E-281C-4B1D-A556-3EE88199834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E38709-6B2E-4791-8838-8F7D3142478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61A9950D-087C-4A4A-90E6-A736A27ECE1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F0114C64-825E-46B3-9C67-661751844F4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B68677B1-7541-4C8C-94E4-9AA6CC5A861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34FF6542-A013-4167-AD2F-04C4852451D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E080D838-29CB-49C2-8674-64908E2BD17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6398FBA-D313-4AD9-B8B2-B108281008B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358E9D0D-DEBF-44DD-BEC5-6F7536E9D85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BF771ED-BEE4-4E00-A943-0B8D574B68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F9E6498B-2A5E-4A40-8278-714C526C147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A61AF901-C7DA-4460-BEB5-EC8C3A154DC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686068A0-80D5-406D-9144-912EE67C145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D600B646-0A1F-4D7F-8526-4CBC3F2B6F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C219B80E-4584-4219-A18C-33BAEDE16BD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6035AA66-9D70-46ED-BC94-B0DAA00063C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EF222C24-BCC4-469C-B6B7-266155183EE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D2843F76-C379-4041-A6BE-B45B8A437D3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04EA63A8-2665-45DD-BB89-0E35A20C420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7C7A24E7-70AF-46B6-BEA5-9B70A1053CD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2F5EFFE4-1E9C-4354-8D6F-19D37DACA75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DEDFF9B3-8656-45ED-A5AD-B0C8F9CC742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CB3A5F04-F745-4C05-A00C-060D0DC693B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23EA22C8-F4D4-40C0-9F9F-DD3D4187A76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EC05B799-A89A-46B8-AC09-C0DBEC442DC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4F9619CC-0C55-410A-A039-6274D9ABDCF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049A7CF-2853-4AEE-826F-9C3D27EC67E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9CE28428-4A03-44C2-8901-A8A01966391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A9FB8AA9-0395-4824-A429-7BBF619A517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A8102749-4029-488C-910D-8E29FD5652B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776E6B16-6BDC-4F18-978C-B163E52B876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17D032DE-60C8-4055-9231-D548665D05E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348E704E-B982-4A26-8707-60D3F68D370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407E8B91-9DFD-4F59-8B85-40E20C235D0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173C2E9-45B4-4856-9151-3C0E47908E9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D3361E3D-0259-4706-8495-6E2142D0905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7107893E-CB2B-4E9A-AC11-A743D7EABB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DBC1BF0-B9AF-494F-802E-FFA67AC1FF5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26346D-6B47-4B92-B97A-719C6954B3A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EA3A45A-5D48-4E8E-93A6-2FE0915C9F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89FF5864-F6F0-4538-9A9F-41FF76BAEE3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C769690E-9924-448A-A480-B780D312A74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F7FFD41B-68BD-4BD8-B6E4-6AD5B6A7C1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AC1888CF-6686-48F8-B53B-3C0E684ED5F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1C0DF1B-1DC9-4196-80F5-A7D49507B83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58C2BE7C-201C-4E85-B40A-EB10E7CCBE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11DC3BD-4A1E-44E0-B7AA-4906B692599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E9477AF1-5C52-488D-ABD9-B325C3325F3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F204DAE2-7665-45FC-B66F-E0FA76E9C19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F23BA211-0CF7-4E98-9F2F-37E05A97320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60254F4C-C815-414E-928C-50AF5ADC04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A1F7C927-029E-4AEB-BC21-A466393A079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AC8C982E-3F1E-4FE4-AC17-A103278A049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202FFFC7-62D5-4B19-A432-DF7AFD8E865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BAB3A670-8DA1-49A1-91C9-7F40D300EB8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3B1051DF-76F4-4309-9CE7-D6CAFA71F39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A3A77E5B-1999-4058-92A6-847BCE41A00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777C74C2-CBDC-42AF-8FE7-F6910A3FBA5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1F0A77FD-C08B-412A-8DAC-39B241271D3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A0D00ED0-FC7C-436C-90E8-BAC658CE330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6C301C0D-1873-4446-9AB3-CB8DE6902C8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D620C4D3-CC2C-4ACA-871C-BF469076B93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590B6424-C169-4471-9FC6-BA3A4073DA0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1846B494-AD8F-4A8C-9160-3D4B83D31BA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695EA7CA-447F-40E3-B8CE-AA428C4BE1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C26F5BB6-3912-46E4-BFF3-816BC65F25D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0F7F4CC4-C3FA-4B42-B2AF-98BB269E85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CA736C2C-C8AE-4C9F-AC58-618E7FFDB11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5ED15511-FD98-47B4-A0EB-3D1473DF67F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D7B5D0C-4339-47E6-BF30-33AE0A10E0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3F0B8B84-50FE-42E0-ABBA-CA4E50945BF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AB4E6BD0-AE2F-4B4A-8377-CB7ECB7A17C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4B2D7779-125D-45AC-B8D1-371FF47CDA1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6F310354-87E2-4EBA-AEF4-B05CEE7CE0F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2E1839C8-733C-4FC8-A0E3-BD335B194AB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D5656E2D-50BE-4423-8B06-87B696DBB2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FC805DED-DCDE-404A-BC6B-F6F5B072F18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CE1B5CE1-647F-441B-909E-3A97EEBC1EA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B08252C0-68BA-4FB0-94AC-9933FE3CB16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1421A698-A58A-42BD-AC98-13F7670778D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75EEDE43-B312-4992-AF3D-654FA544D15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CAC5135A-0631-4F05-8093-F4A7D52F531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F88D88EC-7CC1-4C80-8BBF-3DDFC377811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40EFD3BA-9B84-4CD7-B9BB-9BC63148D13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2379D7CE-1310-495B-9200-B521EA28B1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BF37EED1-B212-45A0-B960-2BCEF199AC5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D6B45E40-EA7F-4388-B5C2-5CE49358138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3726535F-5649-4F6F-AF17-8C08912737C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8FE79AFE-9072-4B93-9432-74820B483F3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F8EBE293-1C76-4B35-B55F-AAFA0124CE1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BD76E366-DFE7-4B08-85E6-B79EDB5206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4EA6FB6C-900B-4F66-9DD9-FE51590997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D0F92A60-2FB2-46C1-8133-C5DDB68E6FA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B743A2AF-65EF-4980-B633-9725765803C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8833FF8A-8DF5-40C0-8756-488E057AD9A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6DEBF016-4166-49F7-BAD4-8C898F6812D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9A34C6B7-8B23-4590-9AFD-0AAD17BA2A0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B95D2943-B65F-402F-9DA3-6980458FCD2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AEB59D85-0283-40C7-9364-BB37BE72B7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F7282811-1A51-4127-8309-4C053809D11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BBB5F78E-4D30-47E5-B5EE-AA7ED16DF2C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6D65582E-7BC0-436E-9D39-086D6D0E8E1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E4FE39A8-251A-44C0-858F-9AEB7A4613B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D73A8217-4D1D-4B59-8C6E-5E2D38BF418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EEE632E6-CC51-4EAE-B0D9-6609CC37D53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34865EB8-616C-480F-BB91-FF818A3C770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17DDD77-54AA-43F3-8EC8-D67CDBBB740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E9350F17-08FE-411D-A570-3E391F39F8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D8FFB990-3C04-4385-B66C-D92096EDF4A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FD783880-5EFD-4113-B1C4-963E1AEA09B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49C80837-460D-4A27-BDCC-E37674A2646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B75746B1-F4B2-4359-A834-EB310A29C16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4692782-537B-464A-9A87-7B3B2EE84E0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35C5E09F-23AF-4C0B-B44C-A93A5F1DA9A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E60DEED9-8EC7-4EEB-B4CD-994FB247F1D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2131FB97-43BD-4983-AD50-35762CE8BA2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7616B40F-E90F-4C30-85A9-EDBD818B5A2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A0615632-C1B8-40FF-9FFB-42B4845B93A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D87BD2B-A0E1-4B42-A894-038A14ABD46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E094E581-F3D0-4D46-AF2F-D8E9A39995E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CC8493F-ECF6-4B7D-9B13-EB497004376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014C695F-98FC-4D88-AAE6-C2B5B25DF1C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3A5B9132-0145-434A-9E36-A35D5BF0497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98F161F-E986-42F4-999E-696BECAF5B4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53D3A655-AABE-49DB-9705-22ACC6A90E3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E6E862AF-72D4-49E4-9936-F90D21E910F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FEC8A1F3-AB85-44A0-90A2-84F955FDB12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E4008F26-D2B9-4EF3-AF7F-674F36A938B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F5A746C8-960D-4E91-8DD0-D596D25B48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DD73F77A-B9F8-4F95-8A09-55E6B581AD0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5DC45104-E108-45E5-A956-17174CD9B73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1261D678-FC72-4788-9EC2-7EEFF27845D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FB2B5032-2CE2-4469-B219-628197E141C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B50F8071-9291-4F55-9123-7D964710E15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26D27450-4023-4B36-B09C-12CE80930D1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E8D2B1C3-CFED-48E7-BD05-FF4902E9E88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9529BCDA-BCCF-47BA-8BCA-3DAC3CAF4B4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EE7FEC3B-0939-42C5-A48A-FF91E70B5CE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3CA0F5B3-DED0-45C8-AB22-32AA24836A6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F32AD5F8-47AA-4058-BD78-8660106BFC5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7D2A1E72-1DE2-4DEF-973F-181628AD84A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63679E43-8037-4148-8959-2584362CB2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36488046-5E13-465D-90FC-F79D999D9D0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D6AD3E8D-2203-4CCD-B169-73609B44731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1A4086A8-8878-4F85-A6C7-FE8F4207710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3567C820-192A-412E-B35F-0E2F6935F1C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EC499679-D841-401C-B4E1-839D09855F8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3AC30AA2-CA4A-448B-B6D2-491D583F80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3BEF6958-9224-43BF-A6A1-03601934516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F28B418-EAFD-426F-9122-5E9993E9D86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2D8BB250-2A27-4A29-9648-02CF9BAC8ED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C403E261-6E9C-48BF-8BD3-EA118D21CFF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F960DBE0-E236-4F6F-8485-BDECAFBA594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E915561E-A194-4A44-A656-28096EDC12B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701864FB-8DE1-4631-9E57-060901B1115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E6FC1069-F606-49A7-929F-8B0F44889F5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9B39A267-93E6-41D1-8947-8728EBBEABF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1878999E-2DA6-4F0C-9EDE-BE6450B97F8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B68BDAD2-94CC-49A5-B69F-F1CCEBA2CFB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3ACE34B4-DD90-46C2-9600-6540003FC0B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256732C-4C9B-43C6-AE52-6829A16B381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9C5D9E06-BC29-4DA4-8D79-E13A5ED9602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D8C12C36-EACE-4661-B609-92D4F010C17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4921F1C2-90E2-48E9-A19A-5B2337F6FAB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8E345165-E721-4BDD-B174-BE2D3FDF2C1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2B3A07CC-1765-45E6-AE4E-83B5B1B7CAB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319B82E0-C78C-46D5-A256-8D5C872DEC3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AB5BA5D6-6AFE-4EBF-8D57-31D6DA06E8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4221D76-4427-4C14-8D50-75FAB92950C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3F57AD74-7EAA-4F51-985B-942EEBBBD1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1C1AD94F-1374-4A8D-8133-795BAEAEFC1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5FFE9D24-380B-44F5-85E2-FFD1648629B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AE420EA3-734A-4B14-8737-253EB38374E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B379B655-F734-416B-8FF9-E69CDCFDE3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DCF7CFC0-EC6E-45F4-A9AA-8AD6EAAF2D8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32DB9BDD-FB2B-4632-AF4C-8993E69C190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3A82BE55-B324-4DC2-9D6E-D47DFEC68EC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B9DB93BB-C056-476A-B754-CC3247EB27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80D348D5-7B61-440A-9D3A-9F1C766D7D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7DD075F4-C7E2-4587-9CBF-1A44EBD332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63A55410-C83E-4FEB-A688-7AA3F8A7C5C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381B4C2-3F3D-4D6B-8DCD-540C55202B8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E1A3A59F-B4B8-45D9-9D3C-510C2213B6E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CF4ECD45-E501-49C0-BD53-DBB21B5FBB5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578AD611-561F-43ED-931B-7C79D3DA79A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0252F832-4F34-486E-9C82-2E270F6DBD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9F2C2DB3-FCFE-4500-947E-7B638D0919F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C40443DB-22EA-454B-BC99-1F703F11711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2EDAC81D-D60D-4094-9738-C35F4BA9184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4A21AD6D-FB2A-43F0-A8E4-A830044BEC8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BFDA0D55-E71D-4128-8FDB-4C8D9F38425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EECC1393-F4E2-44B4-B47E-A42B9E7486A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1D9DE9B2-7372-4622-BD78-39BFC678FD1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BA3C5044-8A9F-4C1B-80E6-E3EBC1C2B6F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15FBF407-5D9F-4333-8DEC-4B591B7929F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11FA058A-B310-43B6-9187-3DA28F544F3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6F25AD46-CB10-47CA-957F-3B42E2C016D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E107742E-6194-4131-A436-313D50391C6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3DD0E470-5437-46B0-A05F-41BEBBF71CE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8B8895B3-4EDB-4871-972C-BDE0DB2CFDB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CA466579-31E7-4198-B7F6-E2042EF3113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E3CED2E0-0E07-4097-8488-DB2B55DBFFF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484788D4-3A33-4A5A-AB26-39B50772CFD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232E8E4F-6957-491C-8AD3-489031C0660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54454EA8-84BD-41B1-8028-03715F65BE1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C631C3AA-00F5-418C-8081-4CCF825A666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3B872DEE-D8A5-4A46-8CE3-0603BFB4957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74D12CAC-925C-4B22-A949-8656A390F62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404F7151-6FB0-48B0-9677-E302FFB5520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87113721-5943-4383-958C-BD02F2D75F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6CA0158B-7275-48B2-B8E7-FE745338030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FCDA9F35-34CA-452E-908A-0952DF02977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50EF588E-32E4-41EA-91F6-9D19C07FB69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F5E0162B-325F-4192-99B1-A9538E961BC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8E399FAB-7DBF-4BC6-9059-8D96868A56C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D1F30A34-423A-400C-A9C8-ED3E85A1BA3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6E52238C-14FC-4A82-9365-E5936BCE80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93A725BF-514D-4284-946A-A295D3A26BA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7D6244DB-088C-4AA4-A47F-3A8761994D6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21662970-2802-49D5-A34E-60298A70C9A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2E77AEF9-F4BE-4D53-BDC4-EE095D2AB71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9222BC7-39AC-4272-9226-6B9CAC5C6C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57075F40-24ED-44F9-AF01-A48348BDD6E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5DE594B7-201F-429C-A5D8-0F15CA94678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DAD6B951-F8D0-4B54-AE07-4E4A63D702D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0577057E-4F79-4516-A617-4F59009057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212BE990-3ECA-40F2-87C7-D4A62761915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3ED37575-8BA5-42C4-805A-B969DCD0C0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4927C9F7-8A1E-4E8D-B9BD-61A12A82891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58EC6681-E079-4607-A57B-DB4D15925AF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A3434166-11AF-4840-8E9B-91CE4DA88F2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4AEC63B6-743A-4C1C-8E2B-1E1141C25F8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15A49827-9620-40E3-A7A1-79586DAAC2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E3985E65-E7E2-4EEA-BCC8-843B6015F4C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4B4535CB-7534-42B1-9E0D-B54946BC244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79C83885-266A-401D-854A-C9AD514A335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405D7C46-8BAA-48D7-B76D-C57892E79D6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7ED960A8-2698-423F-81DB-697595C5D5A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9F8A8098-CB66-4650-9E81-25ECA43909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56B8763-FE78-4312-8070-26E5C86AD77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F1BB581-FCCE-4F11-8EA8-04C7BD0907D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6F84C82F-6A4B-4142-92AA-5E0748808D4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60172F03-2AAC-4E6A-9E64-4C29E6B18D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2E67EFB1-BAA0-46DE-B17B-2D80EEAD2A1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36A72BED-EEFD-4CFD-9565-EB2F99DDEA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2AD26CDC-222E-4FC3-B12D-D2B707781DE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2C80A2E-7F82-468E-8DE8-B10C2332C7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5A21E66-CB3B-4774-81EA-AB2D448319B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EC33CF9D-8634-4F0D-9691-4D94331A447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A81A428B-1587-4462-AFC5-4EC59609F1F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A3711D69-F34D-4491-97B4-8A472D3DDB0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2C8E574D-FC18-4975-BFFD-C3B345F75D5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6AAFDDE4-6557-4BBD-A748-1077A0E48B8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2048D944-3FAC-40B8-A633-D3202C5A9A6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82AAA10F-155A-47A3-BD03-299B656AF37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350E3D1A-BFB2-4846-810D-D74648A077A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D990DD4E-CAEE-4AFD-9A4F-DC3EDE3C844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284C1015-80C6-46E7-8A43-8FEE5BF089F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495E3562-A5B6-4E1C-80B1-A625354B278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59D615A1-134E-4A43-968C-64998CB1BE5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C201D1D-E752-447F-A036-79D15B7AE1E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0F843841-A133-45D8-B25A-ACC6DA42075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B050F1C7-C299-4FC5-AC7F-3966ADB7390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196EC8DA-3BCD-40CA-8D4C-CA7F8C9EAE6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A6ABBDA3-EE6E-4320-B6F6-935341B5EE7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7BB42571-A7D0-416A-980F-C6DEDE2DC7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223418A0-67CF-4C3C-8598-E13676FD0E3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8F0C5D98-778F-403C-B57C-04602BEA4E8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2F4E6642-7AE2-4141-A7B7-47F8A237010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3CFA94BC-14C1-4613-ADCA-D061AC1F3EA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E13127CE-916A-42FC-B023-D254FB52509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1D0D1EBC-96D9-4E41-8F40-2D26347DB7F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B71D8236-9664-43F5-A2AF-0F3C7E3C565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369CAA50-3035-43B0-BA91-168A94BBB2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5BB87AC6-90D6-4522-BD7F-8726A5CC9D6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544D8149-4D0F-437B-9DF5-1F9D0C2D4B4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8EAA3B3F-1F0F-4A02-9394-F80EC21FA64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D5114393-31F1-4636-B968-17363873624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6AD8D46-73F4-4A77-BEAF-4FD95BAC64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C4C5E11-DC21-4331-80ED-ACEF8FCB2C2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B3E4912-078D-47B2-A396-762C79B0626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F331B3F1-6A03-47E0-93AB-B9176C9BCF2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D4258CD9-F3D8-4872-AF2F-C3D6A10F1BE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0F976CBC-585B-49F4-8ADF-4438E5467EF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B6B8B4EF-9932-4EB1-BD6A-D771FD092C9D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D0DC10F-655C-4738-954A-173B036BFD85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6CACC654-A48A-4E71-B202-D8407311037B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4F971085-0623-4EB0-A418-29D4749183EB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2735CF9C-4E58-4B31-84DF-B41544260B33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E3B4A60B-78FD-420E-979F-128AC7D5799A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810E0E39-5934-4A07-B33E-8995E4A66B87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01269B01-D59E-432F-8262-9E7AD42EBC07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F995A9E0-578D-4E59-A1B3-F967BB73BE7F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CBEC0DE7-67D3-4A6D-B1CA-9B00FA36AE5C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473E1C62-4F92-445B-8A5F-55F773B9949B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C7C0A930-87F5-4F9D-BDA0-3CDFFD218E99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A182176E-C5F8-449F-A62B-540481E5F5C8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2820E4E8-6C4A-49EF-A7D9-C8C79510E90F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ABFCC0A4-8A55-456B-83C0-AAD7038E78E6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A886719E-0B24-45F2-AD8C-978353592D22}"/>
            </a:ext>
          </a:extLst>
        </xdr:cNvPr>
        <xdr:cNvSpPr txBox="1">
          <a:spLocks noChangeArrowheads="1"/>
        </xdr:cNvSpPr>
      </xdr:nvSpPr>
      <xdr:spPr bwMode="auto">
        <a:xfrm>
          <a:off x="2026920" y="6120384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EFE98C91-4262-460B-B6B0-75B9A514080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7E50DDCB-4EDE-40B0-BD6C-0C5344F20F4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56CE8582-8573-4649-925F-28C9C936554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76E83527-F8E5-403E-9549-069508D70A6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0A97660F-ACC0-4139-B06C-8967F0B0383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E396D720-A6AC-4135-A548-EEA1B14C6B6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A4E4B2E6-B3FA-4FE2-A30E-05D706A767A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49594E2A-B6C2-41F8-908F-BF6C2A5ADAA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EDBDA664-69F9-4DDE-B786-56C9EC697F1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17BD8B9B-4E15-4B27-8D51-2F492EA7A72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36884E07-DE2B-454F-9C39-4A929894FE3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F9FA3E44-7CF0-4180-9C70-7E3A9044AA5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ABE1BC1C-AAED-4597-BFFE-4ED927AC2B5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4F15765F-28C2-4B74-B13C-62F6AB15327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32077700-D831-43A0-9D6B-992BE52B0C6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EE31277E-8F3E-432A-8D55-5F7D6C4B4FC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3542F724-3106-410B-BB29-1E80458BC09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A76A0594-784E-44AC-84B7-1AB9F4B5BD0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F7FE8556-E678-41CF-AFA6-A714B8F2B45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B0695F24-8405-4BAF-BFA0-253188A1F3F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5C2D08D5-558F-4451-984A-2CCC3B8CE6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66E64BBC-41AC-49D7-BF01-DD98892176F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E0EF267F-5013-4106-8BC0-D0675494BA1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7B741158-2186-49F7-9B8F-F401F1A4261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CEC12CA5-85C1-460A-BBA9-25A3549EDA9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78632795-087B-4D3D-8291-FD39C984D4E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BD47FF26-E9AF-40F7-B374-DBBEDB72215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ACDDB64B-B918-4FFE-9234-0A0CDD6DB80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58475ECB-840A-4FF6-85C4-F275B26E3D6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980C9C61-DF1D-4241-9FC2-96BFBAA03C7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19C7A324-D7DA-4112-A5D1-09DFE7B7338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5927DDE1-21CE-413F-9901-1E1B7109C65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CFF4CFCE-9F53-47CA-858F-1737696539D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B2B603CA-3773-402F-A893-0ED42CF73C1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5569938D-4E1E-459A-9F2D-54F4C17BB9D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821F3801-6669-496D-BD15-3AB473BC0C2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BE29F7CE-0B64-4A08-900A-F52E82381DE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71CB887A-3800-4FE3-BDE8-5F39E833784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E71F92E-9309-4130-A917-46055611074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3C131BEC-E126-436B-99E5-8223795990E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B42A309C-DC0D-4289-BC82-500DB8399C4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7DBABCF9-5C1B-4F5D-9F4B-5A51EED3361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77FC092E-5BB6-456A-A861-490D2779F5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55F6DCB7-90D8-482D-9CD8-825D70D065A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92CEAEB4-FBC5-4F08-90A2-FD5BE773C62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9B65C429-921F-403E-8132-76E1C51F871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3DDE0A8F-6AAE-4410-ACC2-1D57E7EB20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56E2F496-FE57-4185-9101-3476B68EC42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55CE543E-9EB3-41D5-B06E-7F34AC74535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9E584ACC-D5B3-44EE-8687-7A6BA311688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B974698D-9E62-4A1F-991A-DC504CC8E87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2F5DFC92-15A9-4279-8EA1-84289DC4553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97DB3DDF-16CC-4125-8FA9-FBEC1D3E31B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3C6500C2-179D-44DC-8080-21F710ECCE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6DB5C22B-4FDA-4459-9FA2-F57FE5A2540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9F2F6400-A21A-4098-8DF2-8DE0C2A5D64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72DB52E1-5275-4149-81D4-53BF0FD028A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92B138A2-3152-4DF9-9A86-61B200FD6C3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A81F66A6-C509-45CA-99E3-E7181F7D6F4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BDCF5F8E-E261-40BC-97E2-890DE9B2A54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0E918ACB-F282-463C-824F-0C2864D7741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10F83413-AEAE-4180-B5F7-657C9D2F617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858CC03B-4898-4593-8ADB-BE6123203A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76056E8F-8F73-4C36-8B36-F68E05510D5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55E3BC70-7493-4C38-9909-80DA5E90662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14303B6-8E03-4B33-80C2-6E6D27522F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E74609EB-7E80-4487-870E-187ADF2048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CF8F7709-8A81-454F-81DF-4CE2528EE1F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DC4F3328-8788-43F5-B1FF-EB28D67A8E1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BDA13E42-B94E-4659-AEE3-05C999E418C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E749B973-C571-4C6A-A5D5-AFC12EA7FD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A99BDA8D-9EB8-4E1D-8BE3-A9AB8EF9A5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5F472C53-DA25-42C4-A897-7BAD0E5722B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88960F16-2185-4469-9B5E-A858DCAD4C8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43994251-F225-48A2-A99C-750C3FF5821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6A46F30C-6395-4718-B2A6-437D2BB671F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23EA23F9-6F4F-4B41-A7B9-A323EFE65B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A97D481B-868B-4B82-8EC3-DC7B6ED8850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9B18D54D-A8EA-42D4-ACF0-769EB2A45AD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67494831-2546-4829-9BA8-D0504FE7EBC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2485AFC4-E477-477F-A0D4-3445E8AEFA9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81DEE507-4977-4ACE-9A7C-4874017F84B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10E8CBC9-C1FB-48B7-9A80-FC5EEDDA941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BB4DFB37-96DB-4463-B667-913C3B93220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494AD260-B484-4F76-A81F-4ED88C16558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4AA6F198-634B-4551-96B9-DF6FC2554FF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47AE72CF-8190-42F5-80CA-7FE9C9B8DDA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ED85B534-284D-43F8-B1B9-2CCCD83FD9E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A8B5E1C-E8F7-4708-A49E-BBDE5A6A187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E770DEE6-5882-4A3D-8F25-F0B98A1E690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D7990EAE-59BD-4252-BEDC-576AF55F367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2996F331-1C32-449C-8838-02A3CF70947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F49D4FB0-C0C6-493E-AC1C-1904A80987C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FAD45314-731D-4628-9C49-FDC9F1F592A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501E0181-8AD8-477B-80A3-6E92A7B4EC1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E44CB2FF-CACD-4161-A997-04662AAC7D3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64E9424B-D5CF-4C18-B18E-B582AA2ABDC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D671B3E3-33D5-4515-A439-9706C677279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5C22C19D-007B-47B4-B948-02AD5572DA0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BCD028EC-F5EF-4095-8D01-B6332938542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292E932D-2075-4675-85B6-1C93B74414E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997AB7E5-2CC4-4E2D-A5A6-FDC6377F399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C0BF3F2E-1140-43C9-92F8-773C46F1F55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35B5DBBE-A88B-49D6-A935-3082EF91943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D22E69C4-6133-44BF-9F24-431D0CC55B7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2A982332-65D5-4751-BE38-81E0FC13E33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0505D508-B3C1-43BF-BB43-DBF9B0E414C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0D2BFDF7-C2E8-4FA7-B003-81825474A26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B25EEA25-1840-4C3C-BDB2-80A1B55BE1C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DDB288A1-24E0-4133-B048-FF69DA13F26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4B2B3E1F-FB9D-4604-9BF8-40FB7E6E22C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7C534A1C-3C04-48D7-9EFC-2D13D6AE6F4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94CE0AC3-F451-43B8-8B28-DC5869A3159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042C0755-3664-48FA-8C36-11972EDDF70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54B1EE4A-546B-49C8-80E7-A4CC7825BC1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D6113908-F503-4E99-ACF3-ADDB5DAD510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9F5F1178-6D85-4005-BE31-FCC6EA2E5D8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EBFCD322-3978-4C6E-A613-AAAF1792718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76801B8D-9494-4EB1-97BF-1F13CA4E953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7FB25FB9-00D7-4BD2-B2E0-CD32BE7D3E9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8348A78D-86A3-49E1-AD72-73597C376E8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364B4998-49FE-4EA6-9A2E-9C313E6290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6DF3D330-6456-46A4-B2E6-B2C581C18D7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93EE2225-9902-4523-B607-923064A3A90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FF988133-FA25-416B-85D6-1238BF4BEC1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2FD018B1-288E-439D-809A-316D5735BB7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93DE37EE-E921-4F62-B995-2651FA374D9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0FF2ED26-BAF0-4856-BA62-723A90674F8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182FAB4F-52F3-4190-90B4-3C49D3DE56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6D798254-116B-499A-8C91-0B6C58D9688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C1800BA4-E334-4881-9BA8-CD884F5CF77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C1D4EBA2-9C05-4AB2-AAA2-CBBB669ADE2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B558EA16-9C65-4B95-B746-04894AD4725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DDA7FCC-5D57-4EE7-8FBF-388C20AD4B9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AE57188-7239-4E51-8251-3B8088C2E13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7C85932F-192D-41A0-BD55-CE0B9DD893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AE5FDC04-908F-4403-A737-93CD547EA73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813CE700-28DA-492D-8F2F-C5CC2903571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1A7E4AE5-EFCF-48C4-8CE8-EA6A920A54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5FFC14F5-DAA5-46D5-84A5-BDCC0B92C57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88EC6A9D-4602-4463-91CE-8CC522FC96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E2B8C9B5-BD8B-44DA-AD53-9852007E0B9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47B5669B-7522-4032-B355-C5582614A2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26F31C61-30AE-4C65-851D-D3B459DF8FA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2C4D91A3-F1A8-4C7A-96BF-7DBE0DC099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6B3047DD-3721-4D04-B2DA-7CBEA4D8FF8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5750AB8C-F4A2-4DE9-8102-AF797625979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FFCA276D-9B75-43A5-AC71-27CF0D347E8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DB5B4630-3063-402D-A977-C14414A226F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80D2A263-807B-4AD7-84B7-8EE7E557299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FC7B1DD7-6F92-4D10-8271-F788A27EAC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C6D2F01D-864C-4408-980A-0BE3705B5E3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CAE43F3F-6855-41FA-91B4-41052694C3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3BD598BB-7121-410F-84F2-C28DFD93388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0B5D200F-9E99-4FB3-9169-8E44A3BDB9A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031E80C7-13B4-4CBC-AC6E-6F25271FEF5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7AA92F81-1CC3-46C2-A92D-3FFF78B004D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55F43872-A4D0-474E-887C-C47A97B4928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EA99304C-B876-4687-98CE-2A13C3299BC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FF957F56-7BFF-4FEC-8901-D93FF19242C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BCD2D8AE-C8FC-4555-A3C0-165A0D72809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A4926986-56FF-4D31-8F77-911813F67C3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FCA57D-8501-428B-8CDA-0D12B393A93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D03E1FA6-341C-4AAE-8AC2-A3CA34ECF5C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1DD3D63B-7461-421D-84E2-C67E6DC4A0B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ECC0D656-EF84-4720-A42E-80CA0E0A17C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4BA66F86-5CFF-418A-9A7D-7AA721DD2BA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ED8241D3-BD55-4C27-8DD2-112BF4F9462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DDAA1219-2E87-44EA-A2FD-F9C5D3096C7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56517D54-E9DD-414D-AC70-4EC3AF4511E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8FA79546-5B10-43E7-8712-A3CD658A513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2F9ABE7D-233D-48A0-9B71-C119FAD38D9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511F118B-C1F5-4D78-BBFB-4EB414A3321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C723DA38-958C-40CE-9136-EBC3F8A7A55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D66B4813-B000-49CF-959B-5B35250F13B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DF5CED3-6E46-4A81-A0FE-343B0D679C1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7DC47235-CA6D-433C-89F0-8430FA81CE5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746B6D9A-7A1F-4F11-B112-B9AF2F70DEF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7AB80A31-BCBB-488B-A2DE-0D96EB2225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31F8DC6F-4227-4C4F-9BBE-3929D63E7A3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CBC5B27F-CE6A-4411-9368-A41F9884093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C6169E71-3A38-43FA-95D3-7FB4FBDD81A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F959185A-C861-44EF-A64D-3CFD2F0819A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06E10732-1581-4C0C-B513-43069211656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792DB488-A114-49E9-AC92-3A9A661578F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CF813080-B7A8-479F-9EF6-48381E5F976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7C9C7836-2093-4149-83A3-572E2026F43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AD17B78E-E82D-4BF2-8226-7B9EB14DC3E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AEF2998F-FCD4-4528-B9EA-E6CD39DF910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3D831C71-3D58-4E9B-8B44-AE46E985147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9907BD3B-879D-493B-8611-5986383E97A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42B9DEB8-40D8-4D96-A9CA-B07B61D0191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A8569B21-CC3A-422F-A441-7A2EC124588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82D27714-E043-49D2-AF9C-32BF664970D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D4770E76-7247-45A8-A0A9-7ACD498116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53AC5E75-5B95-465F-A772-E10833AC641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171A37A2-54E4-487B-803D-8B52D341240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D2D58A95-5664-4B81-BF57-E0569A3B888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F46AA8E0-1A3D-48B1-B27D-479D839821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897F3A5F-FE65-4B68-86F7-155F0384ED5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4491CAB4-DCD2-4B4D-88BF-3010E1FEF5B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8E1F8D7E-FF9D-4C02-A462-A07B85652E1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A82B4DD5-743A-4672-9A2A-EE6F22582E5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04846B1D-C9C7-4BFF-BDBB-2872DD36A07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380452BC-B4A8-49DD-8AF7-72AAD3FEAAE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CB1AF8A0-73AB-4437-8459-F632974AC5D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AE3ABA24-195E-4EFA-B39A-FEBC163EA52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5CF588EE-0A78-4139-B5CA-E9539FCF948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1CA3C995-A448-4BE7-87FD-892FC7BE68B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23E039C2-C621-4B84-8391-74DA904664D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538279CB-CBEA-4B96-8A4A-ECF20B1FDC6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4FD64DF4-9FAD-476F-B236-44EC17C4218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BAD73C91-0C50-412C-ABC7-9F76B39A187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0B314196-DCBB-43D0-A3DC-DD9117C009D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899B3ACC-A045-41E7-B7AA-E593A1D85D7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3118F5E7-8E7F-4E4E-9D57-82F52219266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ED5412E1-6B24-4F66-9CAA-F74735899E4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9E9CAC52-B41A-4A18-8BCB-F7F56712623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96F28CAE-D4CB-40B1-9C84-F3751F6E1C9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0EB12258-2422-42F3-9935-2EEF93E78B6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741AC402-9635-4E9A-A82D-4F58A79F9F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3D723066-D6CD-46CA-92DF-41E666D3B0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FDF0E62D-B985-44EE-9D91-08809F4E24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0D48BB8B-082E-4BCC-835A-3B97CAFE491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67F37934-17DE-4517-9F24-4C9D6CB05A2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3E754852-B44A-4495-97BE-9F5125F18F7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2833F61F-43CF-405B-885F-9F006BD4CC0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CA308D81-9CA9-4A40-A437-4AAD56DCCC6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7C281CA9-FC3F-4FD5-8F7F-6C948A512E3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75862068-9331-4569-BAF8-67F8C8D6881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947925DB-820E-4FB5-8B44-182A2D58BF7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B5CF70B6-416E-405B-AF89-A0EB83626A0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5BF4AB5D-382E-483C-B566-BBDE96D15BD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7A322F2A-6F04-4F65-B9EE-741A09D92BE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BD07CBF5-2E65-4782-9406-B4134448C62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A7EF06E5-6F4D-4035-8315-A2F466231B6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871E91F4-18E1-4542-8947-D9D458E4EC1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B9DFB73B-FC51-4831-99D3-3099EB616E7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B9BC4748-ABBB-4E10-AFD0-62CE5C284AA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463ED3F1-6CDB-4996-89DF-009D8CF9D3B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CA9992F2-B3E7-4A40-9B47-370AB051876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8C9AAED3-0693-4C87-8992-435C934A08F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A16B9AF7-A847-4D29-9C2B-034471651A5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2D89E391-C5FB-427C-8ED0-0AB85B14292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3795379D-D821-44E5-BD6D-71A01C8BC8D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FA4667C9-DCD7-42DD-AA20-C877B0061DA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C7D3391E-5E86-4256-B19C-F21FD91F3283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D436472B-6F14-4BD0-BB04-F80F864CD27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B17C38FF-3766-4B2B-B3CC-CED7F8077C5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59A7F487-0660-428E-B265-6B8186A01FF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32326A2F-0669-44CC-870C-CD856D40447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FB2B2F6D-12C1-4A85-A3E0-C2BDD449984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A8083CF5-6E2F-4BB4-9110-38EF87F6C61D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31852CA2-5C47-44CC-9EC1-B2BFC220225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811CE3DC-DA40-485D-AA86-C3744434C1D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43CEB9B9-01AF-41EC-9AB4-DFBB8882683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8E3CC740-EB1C-4888-A99C-DDCD2DA75AD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41BD15E6-F07E-46E9-A71C-2784853C305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95407890-865F-41AD-B32D-C58D558D6DC7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1CD185D7-DBE8-4C86-B4FB-8BB032F043D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F835A1C8-FEE5-4A2E-85E2-4A3B97CEDF4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BF18D641-3F4F-4960-BBFA-B08A8E0FAFB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1C1F3C8-50C0-4C26-A91E-45C67F1DB3E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A34DB10C-2370-4D51-A809-A2206651938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5FECC1D-8EA9-48EE-A066-F939AC716FF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8290CF52-B6B0-4AE2-8D23-CFB6955A4DE9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75C89D09-82A3-4E73-A163-09EA1D207F9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88660538-91A4-4777-8587-F758658B02B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E9C35BC2-53CA-4C9A-87C6-23C63C9CA11C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BCEDF980-EA27-4C6A-8746-608B0776A3E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16351F56-B560-4DC5-8BFF-1A4A3BDE5688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9C91F278-FB2F-4CB8-A0E6-3B5F722BC2C5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BE5B9901-3112-4E11-A2F1-DD539E50979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DAEA1E4B-F693-458E-B77A-C2B609D4ABC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2E80FD10-DA48-4C7B-BFAE-D8D02B8DA54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18AF9DC2-7C02-4AAF-B85D-DC039C19A9EB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8BE9BB7F-6E9E-4302-BDF6-DDFE9AC30DE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995E6783-6ABF-4311-A423-EFA297BC97D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978016F4-0C3D-4B28-B24F-212D4238B29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7378FE88-5BDC-43A8-A281-8D0D529742D4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3B42709B-9FA1-4D6B-A63E-01C5F6DB9791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8E61E983-8821-49B4-8150-C2DD3E122BFF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ECB63AE1-5BB5-48FC-9A67-790A937D1B2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DC9A4CFF-80A3-4588-A65D-F39CF252185E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B05F9D97-7CFD-4172-AA17-BA8067DC8936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E33B71F3-87D4-493F-8F33-6D22208EC25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E5F6FCE1-6A75-4D10-9078-266F65E26E70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0247CA80-3975-4786-A944-B8AF20C18E82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51ACE0C8-E0A4-4BB1-A28D-6663279BC2EA}"/>
            </a:ext>
          </a:extLst>
        </xdr:cNvPr>
        <xdr:cNvSpPr txBox="1">
          <a:spLocks noChangeArrowheads="1"/>
        </xdr:cNvSpPr>
      </xdr:nvSpPr>
      <xdr:spPr bwMode="auto">
        <a:xfrm>
          <a:off x="2036445" y="6120384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E55BBE2-3C1B-4261-A377-E60A3C6173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1F14C5-1F0D-4F09-9D7A-9A4312691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1171C06-0A0E-43B7-AEDD-AE6E7B64B0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9D5A297-CB79-49C4-A500-EA966937FA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CF3AF8-5CAD-4635-9954-20F34B729F9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B05E24D-9CEB-4C77-BD99-DF12D9DABD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231FFAB-0F1E-4BB6-9839-42BB8D4775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2984A8F-B4F8-41E9-914B-0BCE85CD5A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C02F700-53C5-47EA-A4C4-FE3C7D9CC1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CAF847C-A1B5-4F18-9B6A-25B8793584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2D6B086A-4B54-4D63-91C2-EC0770722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39FD8CE-1F65-47DA-8E3B-FC67DC70E71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8669904-8F96-4FFE-838D-86E3ED78F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A99767-3A01-419B-8CA1-D1DA880472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3D56E3A-6950-4EC9-9EB3-F749FFBE7D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5B9619BC-0AFE-4C18-8747-C10886469F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85C9971-5367-4031-8DDE-066F7EB79A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06D7FEA-1076-4D09-9F94-C9EDA1F86F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98E80BC4-F675-4436-8B29-52CBFFAF2CC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FB3FE25-FC51-48D6-A44A-B52C49C8591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E0CCD1D-9B52-4535-ABE8-A2F3F4F63A9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8A96BE8-8BCF-4548-AF41-ADC8751C30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3440792-3678-42AF-837C-A8273C5B9D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16362573-6EDF-4521-BCBB-B6C36C77DB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A144C7F-436B-4A8F-A80C-30ECF5E373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95D1A9E-6AB0-4AB0-AFEE-BF45DDA0A6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6F32DD9-DCEC-4944-BD7A-E2B8D1EDFA5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E08809A-D1DB-4D3B-BCB0-C42F9956C73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4E3937E-711A-4656-8C40-F6716503F7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102954D-78B3-4F09-8A96-CB833A3B72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CE11867-4225-40DC-953F-B1A0E8132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DABA9D4-2E16-4F4A-9E9B-4EC4151237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A443B59-3AD1-45A8-8A19-4CC3D02068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91ACB79-89C8-473F-998E-161399533387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416849E-AF45-4540-83AE-45A51BD6C83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AB13E7A-CFF6-4667-9496-0F257BAA4E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01CFB56-A570-4403-A2C1-89E03774CD3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5D9CF00-5586-4891-ABC2-DCDCA533F4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D079390-6377-424C-BFFE-F3C472287F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6340FE3-FACF-4E4A-9BE8-8DA84565C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AA4420B-A1D2-4035-A1DA-8FF229CA22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2AB4C4F-40F9-41E9-9682-74E464BD26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9DB2DF-E607-407F-847F-9435671E714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71C020C-55A9-4FCC-ADD0-A2B4C58CF93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7B6A914-B8A9-48E3-B0D8-B56014C125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71FEFF99-3297-4BD3-A9A2-CDE0BA4344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9088B04-4B52-49AC-9C90-C510B3E5A66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7BAC8B2-E1F7-4A66-A41C-C80FF37EC7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D0E72F69-661B-4F52-B1B1-72129F9E74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DEFCE5-09BE-4C1A-AC97-4DE1D7FE8E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ECB4BBC-7121-4AF8-9629-1A9A0B8642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A0D4554-CF25-47EA-8F72-1CB22F579C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46D917D-15E2-49D6-A6EC-12FE67A9C6F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76F249F-84BE-485E-80B1-C7181A1C39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C73B6F8-3303-460A-BD5B-9FA319A4053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8492110-42D5-4C8B-8902-C8B4677B9A6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AED81E1-C6E0-42D3-9414-1C91C8EC65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391B7FE-7FD4-4E11-A537-C0C51E5FFD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59CFDD6-226A-419E-9159-8FB9C78FC2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907A6FD-0723-4D00-BD64-5EA60677CB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AAB8FE1-1A5F-4A73-A523-B103C906917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D9B2677-526A-4681-81C2-17756612E95E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A99FFAC-C8FC-4D05-B372-9AAE67133B2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9417FD1F-3401-49CC-97DE-080B39E3AB2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8250530-0F9B-4A52-AD27-185A13F5E8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2FD98F9-B6C1-41F8-8E69-DD3CB7CD18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043A8CD-28A4-48B1-BAAA-CC86F6B94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D4926C9-34EC-4614-9DBF-9575E093E6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FA36B480-A6AB-41E4-900C-01AC969C72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518ADD8-5033-4634-98CF-13DE186FEA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B13E8DB6-6DA4-4FB5-A565-78EC396F19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08F92F7-4630-4CC8-95D7-D490AAE78A6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7BEEDE98-8824-4A46-A494-C2D0FB0B1CA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2B5E1FE-72B5-4D81-89D7-A068F1BB2C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3FB4B8E-3225-4358-AEB3-FB31561E4ED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EEB42B8-5332-49C1-B1C5-D75BE9908EC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572B067-8386-47AC-8D99-45F7BF6977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46159735-F4A2-4B28-8E10-5C1B8A5BE1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D8A58F77-9326-4AF0-83C3-BF52E893B3F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76B05686-5386-4B10-BEA8-3DA4F40C5B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B3AAFE3-E107-4829-8D93-EC5A0FC7891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F9664B1-273F-45EE-91AB-95BD491D3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27678-2F77-4C78-AA7E-F3C5AE93968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E37199-EBC3-4EC1-A759-64B0EC8A584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3BB3C8-B798-49ED-96AC-D6AF9C78F1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4B81FC0-DE67-4FD2-9E39-21242FCA2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09EB87C-7BF7-4EDF-B3F3-030A81614F3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2CBA439-1FD1-4DEB-BECD-39336A6B97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7C208F9-CE04-4B3E-92A4-F00C492FF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80B10F8-119E-4CAF-A98D-9C12D05674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0935D39-369F-4CB6-8F88-6E16598DF27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80B3AD3-BBDE-437D-A0E2-E19892C3B4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C2004AC-89A5-4319-A49A-A7F836ED5DD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3C5BA4D-1951-46A1-90C8-485B338CCD0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13457E0-0F00-464E-9255-8714861DFC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2F91B09F-7C31-43CB-9070-BBDFD64A384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76C9073C-C2DD-48C2-9424-A514645BB0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7416CAD-5828-4FF7-8243-A7FAE7B710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2AF9481-4766-45AD-9EFF-53376B9949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834963B-B826-42EF-A04A-5CAD1D0FA61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B21BF042-7C4D-496A-8C79-FED27457CFA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81001FC-283C-4D07-88FA-3173740975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D307208-255B-4B61-97B5-61686FAA355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91ACD3E-3BB1-405A-B765-5E3920E8C1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7238AC-0860-4AF6-A1C5-D54659C1BB3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5816CB3-41C4-442C-938F-943C813775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FA0048E-3B99-434F-BCB0-376E113C0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475142B-62DB-4C10-AFD0-0D6A8F181E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CB39CEA-5FB4-4D9D-94FE-8768F4CEEB8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7CF2DA3-6369-48F2-8636-FCE11299B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C3D0A4B-5C73-4C05-92BC-DB3483BBD25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D5AA239-7051-4441-AD22-F57F70075F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EABE5F0-A77A-4D9B-8A8B-39E1B1A16A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89E35B1-AE6A-4728-BC53-170D703E103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E13A8F5-0EE2-4FA8-8DFF-2F9C94D9ED4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5ECCBFF-F0A7-4B2B-B1AB-DB406FCDBB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81480FA-DDDF-42FA-88D0-1ED4886DD65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B995C26-D4A2-4AE8-BF69-633C0C03D07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0AEBD35-CEB8-4542-80B1-C21D7178E4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F49A8C8-FFE2-4CAD-8A96-DEC6BFAE59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F3095B6-4BA5-46A8-A8D4-8376FCD6F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BB37EAE-C5A9-4368-829C-EDDADF3F3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D7F769A-D50A-4DAB-A122-DF9FC93DD3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A665A91-6DDB-4697-9103-82415355B1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81C073C-ACA9-4A8D-A087-C907C7EF6F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01FBCE1-80C6-4B64-8370-BDC9130BB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6374501-9901-48D1-96D9-27F21B1C376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F38686F-66A4-443A-8A25-43D4C362690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121FA48-7F9E-4B7A-A350-33781EE092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2332C82-2232-4ECF-BB2D-45F44B8CFD8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1CA211F4-ACB9-4704-A9C0-EA8F59D2FBF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7163E8-4562-47DF-AE6C-C337A3A7F60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E4EED5C-6A3A-4A87-8941-5D70714B45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B4EA6D62-48EE-4787-9D54-DAEA8E8433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3C1ED2B-3A40-4F94-887A-3676E15563C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12275FC-039D-4B6D-92F7-7051D3D0C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D5CE003-381F-4814-9B07-DF854578805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3EA5F45F-D842-470F-91C6-5EBB3FF21DD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6015703-A78B-4D53-861F-F13F88BEBE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022E308-76A7-40EF-BCEC-6EDB16F9B2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C023D40-7A90-4402-8691-5C6E3AD510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9892B1D9-DABE-4625-8696-38FE3AF952C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1AA9F86C-0724-4D07-8ED9-680D6734E5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0F1ECDC-5C6A-4F43-8FBD-5643A6F0E9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54F49F1B-CEFC-462D-880B-D738946337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55B6046-2D0A-4BAB-86D5-4FE70E80792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499DA53-A30D-4FD4-B4B8-991DFF755A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D927C62-2EEC-4F23-B26A-7C6F112DF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5A35CD2-8B40-42E6-912B-4BC2FCCCB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BCA1049-3393-4C2B-9F24-D439939DD4A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E1050AB-538F-4946-A6A1-FF1728858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E85581-BD1A-4125-B0FD-2C8D901EED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97EA04FA-A082-4177-9025-E19658B85E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AA98C9-8C02-4B72-981D-DF5BA2A96C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7472D68-53BA-4064-9084-EAD72F35EE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15C71ABB-0A84-4A71-8F41-F10E7AFAF4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673446-AC4A-4E9F-AADE-C2A8ACF972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C5888E6-2B9C-47B6-AE7B-641BEFD7C2E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353EF64-646C-4913-A600-999CC7B7C5E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3972D88-C0AF-4A05-898C-B70D3EAF44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BB3F885-FD1D-4D79-8E8E-7720D1E4C9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5DA67245-DB95-48D3-A6E0-03F6A719CE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B6BE529-1BCB-4BEC-8B0D-131169B97F6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8135EA1-C425-459D-B247-3408349240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8AFC64B-73C5-4E74-A376-989552B4DB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EE2DDA9-6034-43C8-9FEF-0E048A3E3B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75889E7-63A5-4CEF-81A7-4CE8E298143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5B6A3AD-0E23-4375-BD4B-70A3E7BF794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847C6FF-DFCA-469E-8C85-0C908D2106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EF2D9F5-DF18-4494-8FB7-AF2AB7F4A2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948C6B-4E7C-47A4-B1A4-273B2EFA23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28CE2A5-44E5-4F72-BE0D-41B90A2533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733FEA4-B7AE-4724-BA81-BF61AB382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FAA04F3-2A0A-42AD-8034-B34A61B3B2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7B89190-57F4-48F5-9D65-76C0350C20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F1B4A3A-8885-4039-9624-F9C8C1342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8DB87F-5157-4F9B-B31D-5182CCA31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F9B96E9-8C55-4255-9CFD-B3E129D33F4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8C52506-A6A1-42EB-93D1-74F01140F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14F48EE-C8D7-4C57-8B05-57459346DA4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F5D3EF4-BD36-468F-AA36-2B74D9D6B5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DDA75EA-D089-46F1-8E53-9E03E29C25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30D8486-C2DC-4064-9332-FF5EDEF41B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79F8A09-2717-414B-9525-86F46CD8C66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2BCC280-121B-4F26-BC79-8CC836D202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C90A6C2-C98A-4F68-B861-6EE6BB3D58D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9FC2B77-E091-426E-BFBA-CCCF5B0D691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410481B-35F7-4050-8BC2-547C1D52B0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49376E1-2660-469E-AC8D-AC8F7B08C5B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3EA6827-B619-4F5C-A55C-336782F3BB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5446B0-BBCF-43E7-8B1E-A67C085B3B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C173E79-E179-4184-BAAE-D73140C31C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9B86F3-B525-4558-BB8B-937D7C2165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6FEDDDB8-4ACD-447C-9CA7-F1D0B07D20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E2C0BB3-61EF-494A-B7E6-BF5ABC9350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11168C5-D7EF-4250-9736-52AE336D5F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75928F5B-FF9B-48F3-A94F-916A2F372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69C2F21-28D8-46E1-8874-7FF563F61F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8559CA-D8AD-468B-ABCC-6713ACDAF79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D3DA37E-F8FB-4A0E-88B7-846A8FE084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DC53BE1-AC33-4B11-8122-704B3CCD5C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0966213-09B1-40AE-A2C2-77037672906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16D851-B25F-458E-A6DC-318FAB0AE1C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5A7693-AC64-482B-BBE2-343AB049512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BA4B5B3-63C9-411B-9C23-63B102E212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5BA28CA-FB60-4A0D-A456-8D72CB666F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3272E15-010D-4DF4-B03C-D245C837C0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7174864-9213-46C3-8AB7-33ACE25B53D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C2855BC-2A13-462F-B282-F316D43215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FB4533B-D37D-4F1D-8947-B630DAF59A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6A89DAD-7B3F-403D-9D57-326488048E3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80ACC52-C54F-4EAA-A1DE-B4F719652C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F709D2C-E7DB-4CF0-814B-619ED78A94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DAC7F645-4F27-4E75-BCDB-192D86B0CDD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E5E9F01B-2126-479C-8162-8AEC318CB80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C7F314AA-C869-453A-AB3F-57E54D99325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3708BE3-F7E3-4E18-AD32-0A75C2512F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A1392F2-F4DB-4613-8F0D-193BC896DE7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DFFCE7FD-FE8C-41AB-97C5-365D138123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CB72351-F77E-4F9A-BDF8-F9ABC881B0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D6ECF009-0769-4377-8827-703C54DBD5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55728F1-EB8F-4236-A259-003409BF0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F7F9A42-41E1-45AF-91BD-124E0147C372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EABA8C3E-D6E7-47CC-9157-2E621F3FD6D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B4FDEE5C-BF9F-429A-833F-0ABAB72240F4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CE9F4920-6122-4BC8-B2FF-6692432CBE4F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093FC46-FA47-48BB-AB95-9F595FC7F8C8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33E8E6-FA5B-4A87-A7FB-9F50077586B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47B46EF-4844-4DDA-BF4A-9EFEFEEF569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6FF90C8-EAA1-4E80-B05A-C54BE923C56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0747545-09E6-4372-92E1-D10FD1DC59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9C29A44-F8BA-4244-9F6C-03574AEA31C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9BD1B2FC-AC19-4CBB-B595-FAD6E2AB0AF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F8B97E7-AEF6-41CD-9C1D-35B58689363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149BE46-D554-4617-B8FA-C9FAC204C8A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4D2E7DD-A58B-4550-A763-4B643F53D1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34450B0-1F26-4958-A3FB-399C3BA4E9E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E240F06-9962-4B7F-9708-A0FC0C30A5B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1E3580F-3F46-4300-9C7C-FBEDF6904B2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A1C9B7-FDA1-4C11-BCD4-EC7CF36B347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E43F28D-42D2-4CCD-9BD4-A5C7BB84BCC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F255A2B8-9FB6-4D54-BD33-6668DDD8C7A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5158071-C65D-4441-933D-D32907715BB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B2AC96BC-5E14-4741-AB07-92BBD130FC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6963229-B806-4D7F-B2B9-8F9ACFB140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6F1C67-9533-4DAD-B8E0-5086A24E7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85133969-6266-479B-A538-079CDE35AB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2CDB7EB-E779-4AB2-8FF1-2B8C514961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7EBB46B-D7C3-412E-8DE3-7BA8703263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E959822-1FA5-45A2-A9A5-C31834021C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6901226B-8738-4514-87DC-580033FD42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F3C1C4B-8AFE-436D-9FBE-366F0D3524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964531E-0B2E-4CB5-9DB3-00C2957F3F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8B88C605-2234-43D4-B22E-720CDA247B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D08297A2-F3EC-42F7-9697-3209863305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505979D-C370-4292-8236-BD209181B8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F27BFB8E-F21E-42DB-9C78-2C469CA573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27A19A4A-D85D-49FD-A3FA-D5C8AC1B14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947DFAB-615A-4732-8B8E-4EA0B67188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9851F79-B8B6-4BDA-89D6-1B8C58F4FD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8A1A39-D2CC-4150-8B52-FD689B2D0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0A9186B-0F89-4284-BCE6-9A85E2EAC96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9DEEFC0-92CE-4AA7-8B92-A9AF192A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D5AC86-2C97-474F-A219-CBF9BD686A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12A0A919-DA40-441E-AB01-2DD1B3AB8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52359432-5F9A-4DA7-A940-181F25AA8E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EBC7EDF-47A6-44D5-942E-CDD060783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EF490446-A4E8-493F-8593-C9968E6EF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4CE976B-D5BE-420C-9569-8944DEFDB0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AA92633D-DAE9-4782-9A3C-F9463496C8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679854B-7E90-48A4-BF11-9BA0E758F0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26700696-9F15-4E79-8802-EDEC281070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18672C-83BE-47E1-9C2A-AAB3544627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BA73361-EDBB-4058-885E-48E146E610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6C0164C0-5F39-4315-B061-CB30896365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32393B5A-F9F6-4482-81E6-ED5C80B456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B20018BA-B539-4BEC-A1DF-DBB5147A3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5F468BA-A0D8-411B-911C-A56AD89F39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E3EF834-5227-4088-8E6D-8C2E0A701C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EA42E76-679B-4F9E-B567-EA2FE318B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DC5BE99C-BCD6-48BF-BA51-F25F79CEF2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7FD48667-D87C-4E8E-9F01-45B61DFF4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E40F4B33-45A7-4984-808D-FD3CCCF454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E928AD2-1402-49AE-B597-754136736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0CAF534-59AB-40D1-8CBA-BFAEBCF9E0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239357CB-5CDA-4512-8191-175FF5F7B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8B078183-DA31-4D38-BE9C-49E5CDA57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F833C58-B63E-4476-A826-EE1DA56C7B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544C63D-F743-4927-AA75-C82CD7F68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4845476-7E71-4394-A303-313FA7BC90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A7B86DD-60E3-475D-9A32-337C9A7881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0A4C3A2-1A51-4DF9-9B9D-89A2BCCFA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89BD3EC-8C82-41A6-AD14-D376670711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4A3A08A-AB82-4101-A845-07BF792F98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D0D6D181-2553-4170-8628-DAFF4794DD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7ECF2AD-971D-4603-9889-21095FCB36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4F7D6462-06F3-46A8-87D7-582E141FD2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EB1913-D560-457A-B78B-DC21DA3464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5F4D50B3-FF38-4C53-9A68-59D576ACA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3436BB9-9361-4DB0-85AD-511BA3AFB8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33AB02F-7FB6-4DE1-AF52-7696BAA8E5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89CB5BCD-0D35-461F-BFC1-F6101CFF5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3ECE34D-0D16-43BE-A8AF-B93810423B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2E33ECBD-806C-4335-AD78-AE6529668A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521DCC8-B628-4289-9F1E-171B7A1F28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491A4EC-729A-46CA-88DC-BE0FE26E26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E05E1CCA-25C1-4F93-819F-71988F3BD1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14A6C8E-1D8B-4EDD-B010-9DE168099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1B0F4FD-296E-478D-BF25-F5695FCD2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461B715-2F5E-4F6B-9A44-893330D5D8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89659F-2824-44E2-B078-01FB72A60E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F5F3356-BE59-47FF-95B7-926C861FEE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23945FF8-3A4E-42AC-A7A8-254240DE5B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F051A82-E069-4EE9-B33A-9D0554F18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DCFE23B-08C0-4BBE-994C-F43B2039A4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70966314-5DC7-40A3-8823-B464C0E4E7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0351A2A-720B-4363-8FCE-B493B50A4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723D319-C005-44D6-AA66-E76F0AE31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AFF973A6-E311-4940-B6DB-715B42F378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A2B2FDC9-9C56-46CC-83E6-8B3F0B400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98569880-0D44-4BFC-9AC4-CC7E412F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17290282-E853-4B76-92B7-57B222C6DF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641F9A21-B52C-439F-A37F-38706854BF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4D1E0DC-AFD3-4763-81E0-EA844F84A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FD1B6983-EB27-4337-A384-99AD24052E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3F8C3FF3-AD42-445E-A78F-764F22E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17FC7C8-4F6F-46D8-9F53-5B73BE0242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49F511EA-0C8E-4291-9636-AE62D42FD7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2191714-212F-4E2C-A01A-AB67D030F5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BC7A1D6-66B4-40DF-9BD6-5E863610D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DDC97A6-7C03-4953-973F-FC28448C74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D2EAAF4-FD9B-49ED-9A22-390A63328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5E6AA85-0307-413B-B6A8-55F373495A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B897ED08-A031-4A2A-9AEB-1EACBF91D1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7D44240-4ECD-45FE-B28F-8980420FC9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9CF1EB5-1A5D-4480-B4A8-493E1E879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162F04D-3FAA-48D1-9E23-3CF9D54339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4B3CB0-5A7C-4F6C-90D4-14E771F5FD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BC4E3F9D-CFA1-4A17-A141-53F875BFC0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CD4B28C-12CF-4168-9E2F-5173C6BEC1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EBC9D4E-AAD0-4FD4-AE97-805DA7F93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36DCCCB-54B2-418A-9D35-EE904B84CE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BF271F0-47A9-4550-9892-0D4EAD4AF8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3B2B148-DC44-443B-90BF-C2CF3E2E7D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0AE2683-87EA-47F8-AE9D-6384570BBA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B6D97311-3C36-4027-BBD3-DE4E565C9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84714-8688-4C7D-8C4B-36EB6BAEF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762EC03-06A9-44CA-96CE-C95E053ED7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86CB695-94E4-452E-861E-09F45F403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EB07026-5827-4040-BC56-E1C98C038B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E09E3533-53EA-4168-9F8B-A706A93044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5A5B04B-A772-41BA-963F-8F23DA1351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F3F2B41-13BE-4877-B4DC-E96020EB43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2201218-F469-4F10-A71A-F8F6F43386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4A986B1-5837-4471-A3E4-1F2041D85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A573231F-154D-4F70-9A94-325169C1FA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01BD355-5EDB-4F50-8275-458FA8DE9E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F916BEC-4B01-48A0-8EF3-CC2452CF3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3366AFC-1424-477E-B70B-038D48ADE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1268AFF8-1249-4DB2-95E3-D24EF94FBC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47EA44F5-DD10-4D7B-9261-B5F87027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A033F693-5FAE-494F-B3BE-B8BB05EE2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917F82B-C188-4841-8445-354FCB2512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A0B01DB-A56C-4402-A39A-CBE8AB7045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E586641-1F5B-40FC-98C2-47DA9612A3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60D02AD1-850D-4CF1-8D57-229BDF25BDA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17B722A-83CB-489E-9120-2394789BE1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159224D3-5908-4FC9-8F4E-6D9405AF1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73E291D-81DC-4129-8892-A7AA840361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48EEC7C6-DF24-497C-86C6-1DFE37E7EB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3F642610-04D9-453E-B1A0-422E6E241A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6E61D50-D702-43BE-8C40-4B1AE75989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16C92309-9058-4D65-A8DF-E58BCCEA8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525C9C27-F133-4BEF-9421-CAAEBD3DE0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7DFB074-694D-49BD-8100-DE7A3E1D57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92A6C0C4-3FED-421C-8C78-7F3BA9E64C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3B5E372-08EC-46F3-A131-1C64505DF1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1308BB1-1BDE-441A-A721-F28413D5A6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1045F17-9069-4B85-A819-B6AA048280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E6AA107B-0F2C-4712-BB5E-787ACAA2F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AB685171-33F2-4430-B47E-EB7F06DF07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0E8F4A2-D78E-4D7A-8CCD-49013EA48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1EE9FDE8-69CD-40BE-8536-EA230063AC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6706855-A0F1-42BD-BA69-799AC42DF8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164D1C1-C79A-4E92-A384-37D3ED36E3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9B6A9C4-1BC1-44E3-A912-5228C9F254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0528F5C-3326-4412-AD71-FD9E370B72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4C9B21BE-104A-4260-A45A-FD094E4B61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62D31F0-F6F9-468B-9A56-8CDF038CC5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1C3B101-2CC6-498D-9B26-B96A4525E7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DF5970A0-A57F-44F0-9B79-C3EC64C982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E177F8BD-7CA9-402F-9C54-A6473508ED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2900A41B-B1BC-4FC6-AFF5-3B6C50A570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ADDECEC-3365-4218-BE44-4729D964B2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C9A6978A-7C75-4E7B-BB5D-AC044E3517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E97C097D-6DBE-4947-BC34-B98FB4465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CA64F25-5264-4BA7-8DEA-50AB7887B4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C1BEAC37-5D09-470A-9594-833EDF4E7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F790B30-A96A-4FBC-B087-CD6FB498C5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4706662A-DEA0-49F0-A2B3-71C3E83247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AA40742-2624-4007-B090-1B5969927A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BD2C1C6-5F42-4C2B-A28C-060972212C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C0187F6-BC53-4C32-984F-8FFB01FED7A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6FE9A46-17EA-4815-9803-3152A0EA6C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01C0359-BEF8-4EE7-9D18-559F8F5281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18FC776E-43F2-4DFA-8FF4-957A04C6A0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D8509C1D-B093-4A9B-BE14-C014D7D906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C8C244F-0AF6-45B0-ABFD-D467AB8788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344718F-1B7C-46BF-8CD8-EBF6F8CED2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E9993AA-D71B-4219-B17F-CCB6CAE98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DA86BE4-FCD6-4EEF-83AE-FF140F71F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217744D-25CA-47F8-B1C2-6402E8A36E0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B75A035-D03A-41BE-9AB9-24C36EBD09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AF5839E0-1C51-4C3B-ACA9-6B21B7E06B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EEE73A4D-AB60-47CB-834C-8939FA3F56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A07128E-FDF4-4691-A8A9-01281ADCE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5A76F736-380C-4735-A07F-BF9EE6CA1B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82EEA123-3ED9-4478-9F36-079D28D4D7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D0D538B-40CD-464E-9D1C-6EFF5F6512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11567C92-4475-435F-8B2B-B013EE80B3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6339FB-5C6B-4556-BECC-9705B64407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641EE1D-00CC-4AE1-9048-55D287DDA6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39381860-3BEF-40FB-97C4-FED31D0326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C9AFC82-25E1-41EF-9E69-A3BAAD8D85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3164D2D-4162-4E79-A617-246FA212A1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3D1421-0374-4ACD-891C-42381616BC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6273493C-E25D-4E27-8E76-FE8AD88AAE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C2B194B-7BEC-4C4E-AE23-DC23A7CDFC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41FE8F07-B4B4-494B-A359-E0684C650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1C2D64D0-D571-47BD-9DC8-6F2600C99C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4E581A9-0CE7-48EF-9EEF-BF28D57093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CD4C8A51-EA05-43A6-9077-B5395A148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9F002A9-F318-415C-84F7-D640B1047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FB294C-C0BC-48C8-8A63-0BAD6FB02C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41E0E6F-7EE2-454D-A9B1-62F1B9FF8A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BFCFE5C3-E2A4-43BB-A0E3-81ADE46367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1EBE4A-8458-4BA5-92C4-B317CAD26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16C713F-93E3-456E-B3C9-D7141EF188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B8BC8C-B78A-4F0A-95D8-C82D37CC18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FEB4C6DB-6F0B-4B58-861F-F78357755E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6D42DE5A-2CD7-4258-AE5D-42DE15E21F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48F094A9-9776-4CA9-9A63-E8B0EF4DF9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E553060-C250-4E33-ACB4-D5675F3F75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80A98639-8DFD-4B16-B4F3-C4C04DFC0F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252006D-DA0A-4A5C-B277-A59028F10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EEACF2E-0A8D-479A-9F79-693B0687F8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E0E4229F-8C63-4870-AC1E-1ADD9E8955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4B328D4-FB62-4CFF-BCFB-6E12F09A70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DEDC2A5-8DE5-41EA-A76B-EE4D89E193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CE0AB2EA-D4B5-48A2-B282-0BC897825B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926E3E36-506A-4F73-9F65-E3BE2B902E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6745524-BFD2-4386-9EC7-6E9ED6A194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72289804-AA5B-4569-9C58-8C86D564F7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93CF2DE-9CA1-4FBA-9BC8-3CD1B104D9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0B5064F-7E01-459E-A36A-7C1AEE7F94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7C4A369A-1D97-4134-8880-87D61DB7F3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F9F1D7E-2647-4453-BC5F-8D1667C28B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633724D-6502-49FC-AA3D-6CFF0E869F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930DE20E-AAE0-4ACA-9059-9DAABB98DF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327C8D4-79A1-4EBF-885E-E81CF46579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51CC91F-263B-4395-8387-6B4F9EAEB4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A737EC2-089F-4CF7-B869-8BE2350436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BF431EA3-C773-4EA0-ADCF-97CAC64BCB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D012B78-C550-4B83-8FDA-D74A6EDB61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CE9544-50BF-4801-BDF8-749EB1B2FD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641E9FBD-CDDD-4BCA-ABA7-041C73B428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2AFD299D-115F-4ADD-ACD5-7764479A15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3E6F1F6-1D36-4947-9E43-4D186044DE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6F9ED3FC-CC0B-4244-BA46-7AAF709AA9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A5BBF0D-60A5-4072-AFFF-C215894E66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5FCC991-F14F-4530-B242-C587D62316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4D7F82C-3503-4B55-BAAD-7A7B803F4B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A8BB989-F27E-4838-A154-428771462E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26E6500C-EA0D-4691-996D-75038C81E5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7011D996-3AC5-4623-B847-D98B6C05C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99C94E-E7CB-4887-9383-F1925EC3D3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E1FBEF9F-9285-4755-B351-0979753329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7D2FFCE-39CE-445B-B5D9-43D66448E6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7BA80B70-47DD-45D5-A56C-4EF9A33992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2FE3FD-3A2A-438E-B71B-CFADFD507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8ECDFE2D-B4D2-4956-B693-B7009782D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52D4E03E-A5A2-4EAE-8C00-98C0FF9D89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3A04F3E5-FECC-4DD8-8DE0-26A268EB8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2A1C0D90-5838-4407-8AE5-25D52992FC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19B52368-D903-4E5E-85C4-5FE7627E9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7283357A-0B47-4B14-B242-08E3E2A540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DA73594-3685-4269-8ABD-9258795367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820FAA32-5CE2-487B-88EC-91E42B6A2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8240D10-2D2B-44FC-B402-B367C5005E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7D933F2-9D5E-4D29-91B8-041FB7DF72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D7732A5-D311-414D-BDFB-5D59AD7943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103C9AD-5ED4-415B-9A0A-63806FA9D4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3D5477F-997F-4F67-8F0F-95E982308A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DB682031-ECB0-456D-889E-0B684D1DB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94F5C59E-1A06-49E7-A099-7066BD0F11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24F656E-695B-4809-8C65-1225614CED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350ADBE-59E2-44B7-B1BA-A628D895D8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1305B43E-531E-41F6-AA02-F0972BFA9C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F4EFD28-99F7-49EE-A1A1-0008E1A5AF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827D8390-D2DD-4BC7-83D7-ED6073DEC3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716747A-3350-48A6-A996-8D7830BC85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AF7B9D5-3BB3-4342-AFE6-CBFE6AA954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657AAAAE-1583-487C-904B-869CE4AA05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E3910A36-E595-42F4-95F2-FEF94CA2B1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293C4688-EE06-49CD-96AF-FC5A5EBF13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F5421C82-FB5C-4895-A711-8BE3A6B0C3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E834986-5F42-47C7-B509-B960F9389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B7A28C23-758A-4145-AB96-2D1964CC2F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9AE355A9-7CDB-4B73-9071-DD4AB22AD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EDE41239-8B4A-4D6B-BE81-FBE44C71B8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9E9B2220-DE22-4D47-AD21-8949B207A4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B39E496E-9542-4814-B4A0-39DB67372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78218D3D-DF65-4932-B6C9-7C3799AFE06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E6D6640E-EE67-4B6A-9AFD-0CC681EC2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45616EFB-20A6-472E-81FC-11C8B93D5D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F9B70044-7BEA-4609-B8C9-5ABC236F81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E4930B7-2656-4FD3-8B33-78FEDE02C2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7C96E4D-FA6B-4D8B-B086-0B5AE06F0C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274C938E-E10D-481E-857A-D57478F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993018DB-686E-4B9C-BBA1-348A9D7259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3454D0C3-BD9B-4462-95CB-92B163D8C7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B48024EA-56FD-46E1-9F4E-B326345A8F3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968BAF-55FA-43AE-A3C1-34D7213F9A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2D274E32-CC6D-4840-853F-BD58A2E4CE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F748907-6057-468F-A90F-2699744259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27744FF5-9E6A-4913-9967-04661D8EF9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E42F2E31-AC2E-40ED-9508-6FC3AB8323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D7AD99E1-02ED-49C5-967D-7704E1235D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FDED7FF0-057B-4A01-B5C5-A3D815FCDF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82EA73D-717F-42BF-BFBC-408EA64425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75614DF0-B0E3-43B3-AC58-A55C52D365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5BDF33C0-BB21-42B6-A051-EB795B5CAB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DC95545-543B-4646-8F23-7D3E2D4568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7C1E736-DADF-47D9-99C8-3E99FBB22E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F13B51DC-C370-43C0-ABCD-CEAB11A00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403A8CF8-C760-4352-9A9A-A7EC942B8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8358D31-44FF-4521-BBAD-AEAA93BD87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7E667E-D674-4AEE-B46F-437773056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404EAB3A-0A90-4050-869C-AB194C5F4F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E514909-6C78-4C1D-BA83-8718B58D46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AFD434F-58E0-4C4B-B50F-17F9BE8899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2DDC5A9-6E4D-4A57-9158-AFEBE171A3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2A9EC61-AF26-471A-9AF7-39B9FEEBDE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8F94D77-B217-4E1F-9458-E7A9078018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A58FDF1-BFD9-4131-80A3-E9C17FEE5F9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371D3D9A-E831-4E1B-889D-B4729F692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AA8501BD-6FB8-45EA-AF22-32F72F4E64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BBADE0C9-2750-49A5-9D03-B06FF3A66D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95DE5572-E5C5-460A-8C08-CE22839E6D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67F69195-0704-486D-B7A7-A4DC7215F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03BE593-D0C1-4CC5-A6FF-020ED0370B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BB8B898B-7574-4220-AAB4-552148813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3A79B9F2-7448-478D-8A83-9570C171BA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59113BD-E9FC-48D5-8931-F9B80B871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8F0F5E2-17D9-4159-AF40-064901A6C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2632CDD9-7377-4D61-9DA7-ED3A2351DC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CF4D025B-61CE-4FE3-84B9-B4F204E4A6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F1742B31-A745-46DA-B3F3-8C7EF0DD1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77A0007E-E179-46F6-A64E-78A32D293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1307944A-EDA3-47A7-AF3F-EC7E45B672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913408B-F2E2-4063-A2C6-231B1692D8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B76CABBB-DEA2-4B63-937B-9A2607C6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A0CAA04D-DF05-406C-81DF-5F3B5ADB61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CB7C14A0-B7B6-47AF-A560-0FF81E99CD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84F54C91-BFE0-4CB6-A917-9927E630F0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40E588A-0477-4639-B2CF-3FF45DF771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7FCF658-FB1A-47A1-8D2E-5027DA5021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BC86E9B4-0D85-45EF-A4EF-2D2308FB6C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DDF81FEA-F17A-4C6C-9F71-1CE02BB4AE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18FCA658-405E-490C-99FC-01D60E836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AB5A303-5C3C-444F-B44D-6C332835B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91E3AFE-9E00-483C-B693-C0663AF8D0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282E077-1B82-4513-A3F2-2B86121CA9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C7CC9BD-9651-4F19-9C8F-D226E927D2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A20253-CBBF-4ED4-AA44-3937D23E0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D1F630B6-CF08-4677-AFFB-1DDF4FA4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E938E98-427C-46B8-9F31-EC936AFA81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BF917358-A390-49BB-A4E9-ED41214E6B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7864D082-650A-4DA7-8C7F-3C4DC422E1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EA2F8634-464B-498D-8E48-DC85787E1B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B023F469-643B-4BA8-A416-4870CEE4C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14D3CF76-F22C-4368-BD3E-0123999C6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13C84510-2CB9-48AE-9983-71D57C395A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15917A3C-AFD8-4A46-A665-25202E9B9B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C03D8E5-09BE-4D1F-9FFB-911AF917BD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E359571-A5FF-4383-8274-409F9390F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37E2383-B7B3-44CC-8B74-2ABDDC70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4AE8E2C8-9431-46E9-8D33-DF23FB5196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B7ACE64B-4771-4097-9846-B142F2F19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E8442F9B-85B1-460E-B5B4-B9AB447400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791DE9C-E324-4EC3-B05D-0B7997BDAD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8E617392-C5F9-4366-A506-9FF47A8B7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20BED018-AB0D-4568-B9BF-E843D1A51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DC0A8B4-7052-4C10-BB7A-01A739C4D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56871D8D-DFC5-461C-8D46-3070468D73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110489F7-1EC7-40A8-AFFD-DDC443C7A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BB2564E4-1CC1-4A2F-9CE0-D139B6E601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1C2A494-EE12-440F-A697-6E163288CE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4F2CFEAA-9AED-4914-9458-CFAA711B36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0B8EBFD-9196-4028-8295-93D4A89123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26770425-E160-4F8A-9321-92359E800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86C62001-1F2D-40CE-A4E3-C4E0F0E38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3ECC609-FC7B-47E6-B81C-210D413515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9A472005-C70D-481C-985C-29168B1847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7EF790-82FC-4C10-942D-0BC6189AB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24B34A1C-9656-4508-B21A-43796E2F0D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8366677-BB29-459C-8FB9-9EC6F848E3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D3963385-3474-4DCC-8B62-C0B87E2DB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6F016E9C-B611-436A-975E-5334976F390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67C14369-F425-49E3-BC32-F62E383F90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A324EFD4-867D-434B-A465-BB193FC8CC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B501D2AB-8E05-4FD0-9CCB-864D889D6E4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BEC571E5-9FB5-4505-AFDD-ED96B102871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CFCBDFF7-5436-4E6C-9637-9AC3920D75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C217BCFC-7F11-4004-B671-834451B4009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7203EC8D-517D-4A04-8A8F-FE4A0A3D8CA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CC46D53-1DB9-4B09-A1EA-6B62290113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FE301FAF-50D5-421F-BFE3-D0623EDA84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EFF50D7-9502-4504-BABF-9A4B7A022F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8958BE04-0351-404B-B2C8-8F41C7313A4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5D01A1-3F7B-449E-84D7-0B699D80DC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5A529719-717C-4A70-B093-F90B7F8DEBB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AD51060F-6101-419C-B239-44248D7B433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867DCF67-5D30-4689-9092-8280BA634A1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2EA428D2-DD53-4D28-BCFE-C0BA15A855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F0687A4E-8FB4-4D10-97FE-8583430439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879A77A8-980C-43E9-A9AF-77CB565CAF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9891594D-ECC1-491E-B95D-F08EBAF28D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43DC4948-2C9C-4D89-9178-A10A69CFA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C7CBD0E-CF0C-48CE-9104-6CC74AAE5D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86FB9FEF-76A4-48D3-9DB5-8F3C162F60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B6A62D2D-EC52-4690-A29E-9DC7DA4F77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E2464609-49A5-47E2-8BFD-B06FBA549B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1525AFE3-2DE1-4EFE-8FAB-D61307A75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21CE9E06-F0FA-4E23-AEED-4988576372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0D7065FE-9F1E-427F-96C1-34AC9FDBBD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38116F6C-F018-4B9C-9A68-84A2502EB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21D5007A-EB09-4ADA-8CD5-375717DBD3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C12727F3-243F-463E-9D79-80BEC0CF2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4F5FC566-C60B-48B3-A804-60E52FEEC6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06CC1105-9305-4115-99DE-35928160C3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66C0AEC0-3AE3-4AF7-AFCF-2A40668E4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60A930DA-9D56-4CA2-A6BC-3D01BA20EC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7870168F-81C9-4057-8999-ED9B063AC0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8F9F9112-52DA-4B67-A396-C4293F260F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3D0867A6-2D03-4E5D-B7B3-B39B0AEE89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2510F09F-87C9-4894-A46C-14A271EE3B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51A79049-C5E7-476E-85E2-48054A0C08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213A6EC1-D658-4E23-8D0E-27A0C0CCB6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444050E3-6DED-4D6B-859A-560221D98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3AA77AD3-DD93-4D92-AF17-2CCF19CB4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4DC3D67-6D35-4795-AC10-7C44576BB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87A341A2-11B8-4862-B269-BE4A919E7A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9175C662-3152-489C-9EE7-2D454B6C04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E9A618D-65E2-4774-9C0E-8CAF8D4DD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A4E63807-1D09-42B9-8FD0-57F134C85C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669512FA-C0F4-41FB-B326-B9591E1514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A052DE02-CAF6-45C1-8200-DDB465802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7771CB72-143A-4013-B19E-04585353414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DC524AC-205D-4C62-ABE2-8DFC878F6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DD91FD3-B3B5-45D5-A4DF-B551DE1FD6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944F52DE-352F-45A0-9DD2-DF3F254187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7F58131F-1887-41FB-99B1-1932970EC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E4B35C10-229B-414F-AC2C-BD658C936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03D90D74-E8B8-4429-92E9-23BF6BD023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0DE29D8C-92BD-4531-B072-00E82F6EF0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875CD721-9C86-4005-B9DD-ABED3227C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2A3DBF5A-7C6B-453F-9550-4E1BBA4A82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541D6F31-F911-47B2-99C4-1824008155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680AE9BF-59FF-4A36-8766-EF0F9E8DAE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4CCF6F0E-748D-405B-A182-496AA4D20D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95643E4F-3998-48ED-B221-283CCF887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7D736784-A898-4E46-90F8-EC2BA9DE81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DF84E534-772B-4132-A217-2CEA4DB0BF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371062A2-E5D8-453E-98E0-6641E9DC2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3C298B95-86D7-4FE5-B6AB-8663B28243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B3707ED0-4B64-4A91-8E52-A9CD654BB5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F5D93601-40C6-41D8-9C9F-B623A2689D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F4F9C7E1-D4C2-4691-8AA0-D26F7C3EF6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73B10048-296D-426D-BEE8-A01454905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FA3F8B09-EDCE-4C8B-A085-5205E183AF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34F6D36B-90BA-4A5E-B6DA-93C3CFE92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5C27B2E9-580D-4D60-B29A-22F03E03C0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26E7BA39-3951-474C-A2A7-E55CC92525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433EDCC1-D0CE-4CC6-8134-C6418B332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074EEFD5-4399-47A9-858A-D4CC4E62AA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53878244-0D6A-4771-B5EB-A3D80C30FA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7067C171-3E42-4828-9373-45B044ED7F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5DFDE477-A932-4884-92BF-ACD91E1B1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C673A446-9DEE-4438-89BD-1E837E2B6A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417D0859-1559-43A3-8A57-DC050E16F2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1F78CF3A-5D2F-425F-A535-3501CF424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A7673352-73E8-4592-8D19-2E4B112296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91C5275D-7F4A-4BF8-8BC1-D1C40D79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274C03C6-CC72-4157-A598-09EDD96C4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8E8D7799-B52B-43F5-9BB0-C1E2EF7DE9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169D177C-F47D-42A6-9CCD-98D21DD9E4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350EC81F-FF14-426D-B98C-575F7FF1112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F05735EC-BE9C-494D-9F16-F52E1F1274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8ECD755E-108E-4F10-A54F-10BA1D1AA5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2842B860-8137-4F03-B755-C7DEB47A19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EB6BF49-A26C-4796-8CAC-7ED6D2E5AD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F5704920-7E42-4621-859D-4558D9F8E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34841300-B174-4743-9C08-94050D6127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D5F1E29A-7EB6-46D8-BDA6-5611F23D0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4C6A4922-909B-47FB-B575-95BC6D2C50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2F0ED359-E915-40E3-A20A-FCE96F75B3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09DAE4A5-BAF6-439A-B9AB-D1F5EBADA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8E17D2B9-8E99-45FF-8A09-1E1FB26B0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30325BF-1296-48F6-8CD2-BA1D1941CD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A99CA36B-A12E-42C0-B6E2-B2F6DC4513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E0A7A83D-9960-40CF-9610-847F2575E3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A3E302DA-085E-4D62-85C2-91F90AD050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FC91350C-70DF-4FFA-BABC-B806942BC9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7F4E4167-F308-4FFC-950B-E2C2174683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0D755E13-11C8-4699-8C75-96CCBF6359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ED3D5F80-AD6F-49CA-9EDC-87EA6C01AF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AD3AD702-F690-4B7C-B146-D16864B548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B8DF284A-E666-4B1B-BB05-C56DD415E2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48B4C2E2-022A-4AF1-BD08-D032E70C6C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95A31732-D700-4485-8E62-A1D366231F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B3B83F2C-7A66-42B4-B133-9871F4F969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0E7C99BA-51A4-4230-ADF6-02421BF98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69E33C47-97D1-480F-A60E-86F9682B78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F77B2D9C-9163-4735-A8A4-58E60D8AA9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A966AF73-A631-4FA2-9948-A49EA23419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811C130D-9596-4A91-AA7B-BDCA5F537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003D962-6F65-43D0-9414-F42666F999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728ED877-583E-4E54-BD5A-571D63419A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E97B0243-3E59-4767-B1CE-8056157A38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8BF9D60E-7A65-467E-9C25-95EF191062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DB78E111-7CEF-496D-B286-E9F157F5B7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A8CCF3EF-B2A7-481F-AAA3-25EB6CECB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E66999D2-B315-45AB-B495-5BFADAC41C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E254B825-CC5A-466A-A333-49848FCF62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04A6FB2-6F12-4D08-B079-4F18C84D7F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F893E4F0-A75C-4726-952C-D1446C82C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BABDDFF0-FFBC-4521-A3CD-54AEC50828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04135C6B-935F-4D01-AEC0-697378EED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3D199CB3-B8FC-41AF-87A5-BE9B741BD5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DB71E6D8-2EE0-41D7-9D77-DE4383D1A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59B1F614-BB5F-42E5-A5BF-7F802D943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D9FE1DEA-B2A3-4FE6-BE71-95074B5CCD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A090970E-8908-4252-8FC3-61A5A86638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F627ABAA-3E27-46E8-B000-6DF2EA5CAE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75FA7B52-6C09-4114-AFA1-E4C85B558C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9354E039-4263-4AE9-91D4-2FF27129B6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3C6766F-E624-40F5-BFFD-833361D231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64FEBCE2-423F-4287-9048-1DD2D0B36E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2B05A85F-0703-47CE-9563-6554D9404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D1097A7E-6536-486A-A8AB-20A67C9A29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5F854E6F-1826-439F-9AD8-E2985C3F4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F7FAF34E-F10B-4BFA-9045-75A72A61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FFB94484-3E9F-4E86-9241-83B66CBE7E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E8876A38-D294-4DB8-A3AA-4EB76AF5A9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171EC2C9-48D5-4227-8F2F-FA8632C00B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E60D9885-D812-42F7-8364-03689BC14D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B8D9D7E2-C901-4BF0-B242-4EA3CD4CAA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2E081D11-3B4B-4253-BFD4-D386054EFF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567B4CB5-2AA2-4147-B478-4DE763D16B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444A5D6D-0236-4E32-AB32-3E18BAD9A6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91F4D48-9A84-41DA-8729-A6A276A332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3B9EA9F0-A9A6-4B9E-8B76-43D820E8E4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BA768486-701F-4B97-8771-5C05BB19CA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FF77D453-921C-45A8-B342-15CE13A515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414252CB-F922-4B0E-A919-868126AB7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7F2E91E0-9FC9-4336-922F-AFA8D1A415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1FE82F77-46EC-453C-94BC-E87CDB470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6E630998-85A2-4CF4-BBD4-908A369F90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0233F7CB-25E1-43B9-8008-F7442EEAA8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B9FA44C-D907-45B9-8450-16A3AFF4DC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B3E35361-2DC1-455E-8819-C968A0F044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9AA81083-B3A4-4292-B0ED-035B2A884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749C4F2A-C14D-494A-B19F-6EAE8FA62B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2035D176-547C-46CE-9B42-4D09B36349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DF63997-B642-4769-A674-6027FFAAC6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B56E9412-F98C-46DC-83A9-92C7E6B843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1F142D39-8C49-4AA7-8C28-6D108BC6C0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A05A4667-6A46-4D47-B2E1-46A16750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7523AD64-F959-4951-A8FE-7A5F9D609F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E0943D43-7ED5-4D09-A4EB-DA2C9C8AC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F9789922-185D-4713-AAA2-199DAAB7F3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77FA2124-AA21-4896-85E9-67FA3E79C7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12F97B19-CDC6-4228-AC48-370E4A2146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1CED4E15-9DE2-4275-A5F4-453E7A091B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72C7A9C0-4D01-42F6-8091-3E813B1889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F18BDF5D-281D-4A1E-9C4A-F6EB45A8CC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DC149B3-D9CF-42F1-A3A8-31EAD7F093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4D29150-6E53-44F2-B41D-6785D29CC7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0B8B4A14-D3EF-4C56-B8F6-19FD35BE9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40E74510-B363-4713-B1FC-A2FCB8A90B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C97A615B-C338-456C-964D-4074A20C9A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6F3BFD20-3288-489A-A991-1ED677DFE4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5923A1E-A7D6-44A6-AD58-94F0AEBEC7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C14D9A87-C616-4E5E-8E22-84D2FD874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751B9255-F3E1-407F-8ECB-3FE42E60D6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FFAF29C4-62AF-4536-B19C-E414CE3CFC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B1B8CB7E-018C-4B92-9F71-8C4140F311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5E961DAB-85B6-4796-8DFB-7DDFD05C4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C1FBA87C-A3B8-4B46-9E7D-31C777750E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91B0CB9-8E5C-4AC4-A615-21844A5A30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664D869A-34FA-47B0-920E-27F121ED64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0E2728AB-D77D-4CBC-954C-0172706F0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6FF4665D-1E6A-41CB-8757-5F197E743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EE0D5A97-FC92-4FD6-AE7A-C4F3DA4A7D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A75741C0-A55F-4629-AE3F-5BBADD2286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67E0DA78-367A-4149-98C8-DBFEA99D1B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C88B0B2F-129D-40F8-A9B6-46981A23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4C62CC84-BBEF-4DFB-A3B5-A978046572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FDF8F57D-271C-4A38-BBDC-481F500B13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695D2F7C-5312-4EB5-B1E1-00BCF93DC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749B74EC-8F42-4E7C-BC64-567FC20DC1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58C31D58-9B3C-42B0-A20C-C20AB417B7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5EE8707F-1A37-447A-B470-69978972AF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2AE8200B-2808-4E2E-A6A1-065886C120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2EE5F218-FD10-45A4-A180-1F83C15415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25AEC947-6D61-4D73-A43B-D99BCFDC05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841FE425-3A06-40F1-A252-543D12C7E5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DDF48794-4A2A-4FA9-A122-C8EA81697A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E4008DC0-C13B-43CD-961C-8951BD1DB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5882C894-F3E5-4CB5-BA36-6F63D674A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D6207257-6314-4D72-984F-50B4BFC1F0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7CC127D7-2069-44C3-A68A-10895E177F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F2052295-FD54-40D9-A939-77F0AB57AA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DA1E9B33-A2A0-4926-8863-4F3A7C7AE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94B956B-2558-4EE0-98EB-690F3019C5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C3E8258A-904A-4067-8ED2-C84DCB7352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B5DCA8E5-5C5C-493C-A8AB-3C6DA49EE6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C6CEB2E5-4667-4271-8270-F36DB58F8C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97BF37F0-203D-49EC-BEDB-4AE62C450D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FFAAEFF-D39B-427C-97BC-64291D1D58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8E9E630B-8CFC-48AC-AC56-164C17D249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2C83692E-C747-4B9A-98E1-1CDBE66DF3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B6A38C52-19C1-409B-995F-35DA8C10F6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640DC7DE-CE2E-4FD2-9F5A-06917823B4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E36B8207-E82E-4FD6-8F66-532476B77B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B8067935-45EF-4151-B030-67BCCFE683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8F795ECF-C7B1-4480-98A3-B22B254F00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415092CD-07EE-452D-8A41-4FFFFBF8A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6A5AD46E-2DF5-41F8-8899-9C29869406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E0F1CFE5-D544-447A-9647-B61570BB68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1640BD49-5A3F-4BC7-97B5-75F540617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CB4AF3D1-C5B6-4018-9365-B6689BBEA0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B4F8CB1-B0A4-463E-9795-FFBAA37167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B3BCA4AA-F937-46D9-805B-A82A1B83B7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8FF157F5-7065-4DE6-92C8-762665110D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D1B0FA9E-EEE6-40C9-9A42-2942DA3B97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15E14EB1-3904-4277-8E2E-6983C53632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0D771A94-67A6-4176-909B-6EE1F4674E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FF163A09-BAED-4319-B73E-EC9A241EC7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4EC45070-467E-41CD-A3E6-CE2F31107C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40CA7A9B-F57F-4C50-9767-7F55D629E6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53B3986F-9A1B-4D8C-8395-63271D5347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F08F99C2-301B-4921-AB6B-1C456E3C0D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539F35D8-88BC-4F0B-BAD0-0A65026B9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7A9E1088-12D0-484C-A920-DC8AB585A8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1CAD0906-249D-441C-8219-D8F58C2836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1007032B-FA22-4332-A8E3-15AF5E5F2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62CC0707-49F4-4D0C-B725-1D96D9E90B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CB188068-EA52-4F8F-AE0D-F1A1327B25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C1565901-EF59-480E-A707-1483DC07A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B4B0DE74-5594-48E8-81AA-75C6A3AB54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ACD7C5C9-BC38-4F1F-BA7E-1029D8F9DA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CB61BF80-CE76-42D4-B803-195E9B8624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353F5BB-ABFF-47FF-8550-F056C545B6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B3CBFB43-8423-42F7-8862-0A39741BE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CD332E8D-A1CA-4346-AC0D-928AC8A07F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E1FAAF11-919A-423E-A70D-A305DCF65E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9876A66B-C6C4-4B83-A3B0-98C1A2A71B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F7CBB381-0A33-4177-8BA9-E1329BFEA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B98173BA-0701-455C-A6E5-82A5D5DF9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4006E43B-E7F9-42A6-8F06-E1D0FB2279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56AA8079-5D54-49BE-A4ED-8CF63B10C9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3E863ED0-9F42-467E-92B3-AE2799866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9329FD6-E432-46D1-A49B-CD7B3A2D2D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11D0A78E-4731-4565-8345-D2F42A12DE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1DE06BA4-7CC8-444E-A0DA-043BBE79A8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EE959184-FE7F-4A05-AB6B-6F597290EA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C14C1B55-427C-4411-8958-DFCB524EF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84E801CE-BE51-4679-9EBA-F90C0EDB94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7F059BAD-E91B-4FEC-ADE1-C4AC26F42D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318A2997-B3C2-4D6C-B01C-0C08DE64AD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11D11A8F-EF20-4503-B838-F7A1FD8639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0D397075-4E96-43D0-A2C3-3D29D7499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8CDF758B-EA89-4B90-B081-F4CD081099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C2F5A40B-5D15-499F-9448-CABD9417E4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4F23CD5D-1183-4C78-A5D0-F1249706D5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F3971733-3E84-440D-9ED5-ACC53EB7F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3E9ADC83-27A6-4718-ABDB-BB69B9896F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3471EFA-426A-413E-B6BE-16C99794A0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B4B96AF3-26AE-45C5-A7C1-DBD5437AE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DD091B99-4BC7-4233-9812-34C94A3175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6131A7E2-BBB3-488B-BD1E-CC8F9333AD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7D13E7DA-5DFB-4379-AB2C-81D5EB8478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B73CD0BC-CFC2-4F9E-B899-9CDCC5F78C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C925B65A-FBA7-4270-AE79-F3F722C07E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9580C905-A57C-4415-ACB8-71C10F71F5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BC51123D-0916-4A68-A6E4-7435C02953B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23C35524-6A6E-4082-A0DC-E2D0F31169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127F145-F4B3-46A9-BC98-A380697CF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78422BE1-B6B6-4B86-81B5-BF3DFD0AF8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5B93D1E6-F780-4F43-9A8F-8C06F719D2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8BD8ECA0-3C00-482C-A146-E50EAF3374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2CC41332-51DD-4F79-A373-74CA3C172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D78D2AFC-C6AD-43BF-B117-2C7AECF879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1938A6E7-A0BA-4270-8F09-1531752A6C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FB490AFB-57FD-433D-AEA8-414E94FE6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4AF3B067-EBAA-480C-9104-DDFAFC2F46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7C114A7A-53EB-43C6-928E-FF6E2D4602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3F919CBE-167C-436D-831B-29749EE2EE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3F99A42C-D898-44AF-BA94-54FE2000C2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EAA5BBC6-A117-4BA1-97FA-45C7C30A4D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59B3BC3F-2C9E-493A-A383-9265B5D7DC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C96332C-ED82-4813-8954-4DE88CE225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264DD5A6-32DC-4F29-B9EA-58914501766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E7BBB9A9-8B59-4C39-B93D-2376154259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89C6011D-F73F-4185-8846-2B585E52D5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37451209-1C6B-4D5B-AC85-6EFD0D6C21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5D13691-749B-4508-B30D-96C0789091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C64D0DA-F47B-419D-BF6E-D26A7A632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B06FD35-A21E-404C-B0B1-94459B9545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B7A94D7-3D07-4714-A357-C1656B666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6439853-D3B5-41BC-B3B9-24910B1FA4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92BA208-21C7-4AC8-BA89-E19B38AA4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8F139F5-5F73-4D7F-BF91-F3B866FF03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1B22008D-E0B4-4E8D-BCF2-09CE9A8CA5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4146A87-3775-423F-9098-E51369C858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DD0FC53C-5EF1-47C0-80C6-F0B5F2F7BA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A01DB74-DF3E-4A0C-87B7-710AA75A9F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A0C8D71E-5859-4987-914B-8742B75FBDD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72D6A415-7480-4B50-9FD7-F2E0DFBBAC1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CC870212-3462-4BDF-BE03-19FC949D628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DDE142D-8026-4AF2-9CCC-B00AE8A8D9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65C6DB9-F012-43F6-80DB-00EFEB9EFEB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FED199D-6915-404F-8968-0021D6A886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3DABDC9-8953-4091-9CEE-ECA10AD8E7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537E515-63CE-40C5-8F64-13C92F721B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0EE305A-1D78-467A-BD95-6149094189D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BEF13A0-6213-47B0-8024-FB03F9580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CA82DF-537C-419E-8FF8-9A8F4AB118F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BC3225B-BA81-4559-A52D-1EEE8415B86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7AF5311-2431-469B-92EC-1FCCB5D114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CBF641C-FC8E-4141-B1D1-9CA8111AF29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EDB57E66-B045-4F2B-8C2B-3B3F3240C6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BC022D-95F2-45EA-8D82-8DF633DE33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7542A3-C81B-4D6D-9075-7888BFB350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0799A9-4E77-4F53-A098-287C94CD4366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05ACC40-1C5E-4E0D-ACC1-8C432CB1E8E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DE3B16B-55E3-4D38-9C50-C8D0900414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A3E23A6A-F813-4D3D-9E1F-5085F18A82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D094C0E-242A-43B1-B370-2D87AC387A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07D2F07-5118-44A7-84AA-D67D7B8A09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FEA2415-7C7F-4BD1-BF81-1A00015708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82CC07A-5EA7-48AC-B0FF-421CD58BE8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9703F4B-5441-4A3C-B09E-EB4E503425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7EC4D68-B05D-4719-9FB6-825078C6F40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756A72A-EB32-49BF-A6EF-72C5EE85DA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66AC78F-0221-4051-AD75-07CC5554305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56AF171-6AAF-42A2-AC87-CC25BC02571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A05A8EDF-AE0D-478C-9870-188B0C7C9D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801F163-F96D-470A-844C-167486E5E0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AFB637F-C4B2-4660-AE63-4027E44CCD9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00F63FD-0334-475B-82B0-30A736D8637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8D86038-900B-4295-AB5B-850EEA1A74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0DA0A67-2FC2-4063-B78A-4C6E00DAED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2AD82B8-FF12-4B31-8F78-7A8EAB4034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DA0BC9A-BEAD-43E1-A237-C43C6916E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9492F0C-EE20-4956-9F7A-D7E71A5FDF1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8D8C97B-D845-4600-A099-A6B397A1A4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9FFE058-9E41-4796-B83D-163EBAF1D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1FBDEF-C98B-4339-B8BA-44803869FD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33F9B17-599F-484B-9422-142D2DE99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0E541F0-847D-4D50-B769-BE2D2B71B0D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F720250-395B-4306-8097-157D53D027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483FB67-C133-4142-86ED-E25F38BF9CF4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58DBA36-9612-477F-8D42-C9F13F0DA7A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C91D19D-0544-4157-A55D-B7C6D415D23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78D9CB6-CA38-480E-873D-401CA26BF03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316F61A-F895-4BAA-A0B7-9AA2C51D05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F0E585F6-518C-4B03-AA62-53463C5F1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B1D99B1F-A4F8-40E5-80F1-9B995203A8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B9BD06FB-DA34-4A48-BAC6-353A2C8055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70D8F1F2-2F41-4E91-8431-5E6896CC8C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3D4A835-CAA5-4FC6-B61C-ECB8B52F4E1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83B232B-09E1-4A53-9D1D-A7ECD5EE39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EDC2ABA-A6B4-43D5-9999-5527EC73C8E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B127C5B-9993-4BCF-B6BA-5DFE55EF65F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D390139-5F52-4A6F-B290-B82758D0A38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849B29-E507-4BE0-84DB-2043EC0BF3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7E7D1AD-1137-48E3-B110-CC67762A16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B835A62-A676-40A0-BD9F-054D96D194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8035CD9-EB4B-457C-81D8-B353FC5917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E22DA79-F7C9-4E04-9F36-7DB0F98EC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33A45F-797E-4F33-8F90-D72B3E57E1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BAF728E-5DBF-4E1A-B9A8-893941C6A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B40B8B-6835-467B-A280-F0F7703CD8E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502242C-A5DC-4C19-B3AE-D28A019BA6F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703400B-B529-4FF3-89B4-4AC80D06C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7FA13437-470F-4B62-89AF-7A1ECB06D7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38402FE3-B0F7-4B81-8376-C8A5D5C26EB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097C388-7F56-4A19-83C5-99F7534345D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A781326-7586-4537-91FC-374AE3E742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B956CC2-B650-4E51-AD3D-84B0A2A5689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B73194B-F30A-46A9-8F46-7C9E74F2BC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F397B91-EE9B-44D1-8284-F96158DB15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83F95A2-556F-43FD-A889-278218A9D35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6FACE5D-FD60-424E-AE20-89F2A9EB7E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CBABE33-4403-46E7-B38C-8404544EB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AEECA51-9125-4C07-88EC-A33F11978C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6B37D98B-F616-47E0-B8D5-773C745D70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9A3E46A5-0851-468F-8486-03DE316DD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15ECB3B-411D-4903-AD43-032B2C71B2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AD5524E-94ED-4234-858B-4D15700C8B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E536B7F-71A5-4278-99A8-CAFBF7AE22A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D9B7AAF0-1F1D-4FC0-9FEF-2C75113859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669F0147-35E6-4756-AF86-9FD2E1A9102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53EAC5-784C-4A91-8A09-B6BDD326A4C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E3503D9F-2512-4384-BC6A-5DA95C69D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4A76E3F-67B1-4160-A209-6B0CB30706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33123E4-1094-419E-A9FE-613B275A3B3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DECD4C6-ACFE-482E-B84D-EDF4FD422B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E954E031-F389-499A-9140-B79285DF57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DB8B83B-0506-4A85-B7A9-EBBDFF1A4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BF9300A-E4B1-4F33-9CDF-E3D81E4E8C9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5663B07-DFBD-4F0B-A919-B02D557B750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F6C81EA-FF2F-4990-B3A3-C272B6E51C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55BC772-A072-4BC6-84DB-9E505B19F7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8AA48AE6-7C2E-4F97-BA26-091571D5297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9AFB12F0-6DAD-4A97-B55D-157306922C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4B1681B-64E5-4E10-82A8-669282539F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DAC87C1-32F7-49E1-B4B2-F7729541E2D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61A9EA8-3D5B-4577-AF2D-E5DC5502A2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FFB33B2-D2DF-4822-9170-CEB07788C4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ADCCB25-CF4C-4868-B3E2-FCE8913C84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7746CD26-6E2F-4554-85B2-449CE03B45C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E0BC0737-818A-4770-9655-8283AC6F91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DE69B90-30B6-4826-B988-A7BFCC9510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A4260DE-BD8A-4577-9E45-EB7420C28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DB8DF35-4445-4466-96CE-DEC2809506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394A59BE-7018-49A7-8CB9-89055151F02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1F4B6A9-23D1-435D-82C1-2B381CC6CD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035ADD-9B2E-4C2F-875C-FE40FB4A38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5ACAC88-4BCA-4AEB-99CB-FD63EFF1C5B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6BADD4C0-C790-4952-9B60-78BB6A3260AA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50E065D-0E39-43BD-9842-D005D96859C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3AE4638-564F-4200-8855-A62C96B682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5AC5DA0-25ED-47B7-B1FB-F005EB058F3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EF0F6D13-7525-419D-B0F9-F77E26151E6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E6A2631F-2E0D-4F20-BEBB-D1A2D52857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F2CC94C-2F16-41C1-A5A0-005AD60D3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A8BB869-474F-4782-9526-17A0361232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3362E28-0C01-4270-919E-72CBDA4D437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ABA52D-45DA-4C27-8639-AAE0FD5565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257F233-4E18-4171-AEE2-623A976D35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9588A15-9579-4990-A5FC-A8358D1817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AC260A8-5E26-4521-B32F-FBB3D72D10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1437643-E35B-446F-8F03-0C7A5754308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93BCCF2-D249-4EBC-970E-10AA07D7DD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B0DC0CF-6FBC-4262-8E4B-2D9736542D4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E5C8AE2-BC7C-4E1D-B03F-BA0EF1FBE9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77DCB76-5235-4B87-AC60-234D3C5401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DF41409-D2A8-4A54-8E53-B7BE092B57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9CD5BFC-9B24-4472-89D8-BE31C795C68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24AF450C-9291-4AF4-8762-9C650A646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41753351-0D6D-4D6B-A99C-E440BFCCD8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3931A61-C850-4396-9FD5-2EB2730611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B7B72CB-5068-412E-BD39-4882525A3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B0AEF9F-DBF9-4821-8432-346BBA9500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B559738-9EAE-4FB3-9077-47000437A8B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44ED2165-EB7F-4E2F-874E-AE604EF6B7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6F956467-70B3-4643-87B9-1A66ABDB12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55337B8-72D4-4AF1-9FFE-36131BDF2C0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1388292-D911-4D7C-A929-2F34723A6E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F39EA629-F027-4EA1-95A1-ADC79918DF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87FA307-60AA-4C7F-ACE1-A0DE0B7C7D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B5DE983-6D39-47B0-B63C-9550C0A1EA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3A33CA9-C612-46F8-86D1-E0B56ACFDD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7B21C22-333E-4A3D-925A-994CE54FCE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9290F2-8256-4234-8183-8EACC1A561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8623271-0E4A-4E49-A4FE-098D7BE4D44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D58BA35-F285-4DB5-8A77-9C32A4BAD88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48F0701-9D00-44B7-AECA-D081A94B9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CA9726C-99E3-448F-981C-AE8CD5B098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B641A12-E0B9-43B5-BAB5-C405BA9572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C9D743D-0629-40E5-86BD-AE1BA7455D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E0904E0-777D-4506-9C46-0E55AE3F7B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99667B-35B1-44F6-9298-44CD36D3A40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63B7626-8CFA-4BFB-9AC3-A03085EBD7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408CADAE-5873-4C32-A5CD-2CA4E6586F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1C869F3-319F-4242-991E-CF611A50E2C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FDF650B7-52A0-4E4D-BBF8-77A2D6521DB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53BCE385-FD86-49F1-96D9-33C29BE926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81A45E71-6D4A-4268-9079-6072E15E71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E840C0D9-5571-4E39-ABF6-7229FD97C1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AD137E-91CE-4476-BF37-37C812BA60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9BFE4729-A95C-463C-8DAC-07D8013C40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9CE1EAF0-C5B2-4F37-A133-9A689C52238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12FD64C4-E912-43D2-9519-EDB4A6FC5B4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12DAFC0-2B93-40BE-BDC1-C8FC7153A6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1D0A8DCF-716B-4FD6-9225-E37D0626BD6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C7002B87-33E5-4B72-9067-F98A7E24B0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554A9C6-D61B-417D-B497-4E3CA7108A4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5C93D6-7867-4A9C-A9FA-A8D8C945DE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3DBA4B1-34C8-40EA-A276-6F95775E19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D60F9B9-0492-4A0E-9EE0-C2E541B04B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A687C676-9CC3-4CB7-84D0-0BD7EEAE98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55586F60-BFB8-461F-9D96-29FD92144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AA6524C-455B-461F-B5B4-4CFDD19A0E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D91D46-B891-436A-941A-4A99552CEB2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C8D68CC-89C9-4322-990A-35F62BDA5C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BB876753-5EAF-4AAA-BD83-3661A13B81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51077C9-F950-435B-AEB8-908EBB472B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134AA86A-034E-44EB-9CCF-F3C1F00EFF5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6CE35AD-CAE3-4685-9BE4-49B9CECCD2A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874741DA-8BDF-4F70-AEC1-3553B3BE703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DB81A73-AAA8-4E2E-B1BD-469905AD6E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F9C8DC7F-A3F0-4F26-B2AA-D7850BBB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6C271F80-5617-4BB9-AA5C-31E4D5A5B3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5F1D06E-918C-4AE2-8CFE-1C0E91E4B2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26DCD31-A41F-474C-9790-B46E626E4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D52197-C275-4D68-AEC9-26BAA844DE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9DC9757E-A14F-463B-ABE5-4157FA6FC5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B471A6C-F024-49D2-AC3F-C85AFC6A75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1A63AD9-0F56-4EC8-A031-50CA82238B8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1668243C-5927-4639-8CA4-7B7731B5ED6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E37A764-4775-427D-BAAB-75BA0B69D44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E710EA0-356C-4BF1-80F1-D5EEB57D8A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D04AB24F-84C1-470A-8D08-ADAE8E43C45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1DC74C9-53D9-4AFF-9949-EB153E90E4A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3E5E8F7-B4A4-4B2B-AF1A-EE9D81B4A4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690F0FC-4FAC-420D-8F2E-919841045E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B5B3575-EDA7-4EB7-B9B1-590097299F0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7C15B29-1FC0-4052-BA72-80C400E11A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63D2AB6-CE71-4F1B-9173-27FB5B211EA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10904F7B-49E3-48FC-A495-E497CFD4B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7EEF7EF-263B-4E41-8917-F1CC4B6ED0F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1217822-3622-441B-B9DF-FD2988B9E4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601DFC9-D373-43D6-98C9-3967D3DB87C4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EABD5C8B-8CDC-403F-961E-3CAB3A125630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E638471-A801-4CC8-AEF9-743FA0066A9A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135F20-7FE1-44B7-996C-02740B1AAC3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6C9621-5C1F-45B1-A71A-E4EFF978E9D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7334B9B-F1C0-4C68-A4A1-34448FB3CB3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407903B2-3992-40BF-97A9-233E2CA016F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2CED533-053D-4E12-8AC0-1C922653672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5D5FB0B-8858-4F78-923F-FE5C8D77D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57A8ACA-168C-4ECC-85A9-08184249410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A05BBFE-4BF8-4344-9354-1C62D616435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4A1D256-9EBC-40CC-9739-275151E327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212830C1-F3E1-4B25-A285-8E25666F3EE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777DDB3-415D-40F1-BAF1-DC1E7E8E48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B1A3E73-D903-4FDA-9324-4A6FCA0C1C7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DD3E300-7270-4E23-AD69-FB9D60DCF7B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A79E4805-911F-49C9-B705-12EB737881E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B6A4CEDB-0007-4D8B-9508-F35DB017477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63D41B2-DA77-4CC5-B0D5-D2D387691A4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1AECFF5-74FA-4110-BED8-8F1886E7CC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FF2676E6-E452-4BA8-8182-0585DA5E0A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7F8C566F-89FF-4550-B27F-BA7706076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940B1F2-8563-4C32-B52A-18D4707453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C34174EC-293A-4599-B64F-296D6FC06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A18EE427-2946-4B91-AE87-029CC02630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FDBD30AB-A00E-4786-B639-8B1B097859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B954FD9D-6AE7-4C49-B80E-7B5987583A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2E83AEE3-04C2-498E-8E9E-BA0F96F5B0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6F7EB965-2FA7-4451-97C5-A1329B5EAE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51602754-5D22-4E8F-B6B9-95EEF58FF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716533C-1171-4822-8F58-6AF24CD590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C9B33B1-4664-40F3-B8B1-7C6427C38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AC79FE0A-C974-4D8D-B440-D91ECADAC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AACC28C7-0711-4469-999F-58D5CDCCC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7BA0C43E-8BFD-424E-9592-7DE24033EF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6AEF63C-4523-4E18-9633-41D35DA0B4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D404819-7B2D-4278-A014-FBCE893D8F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1747016-083F-4F22-899F-EBC282C6E9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852768E3-A52D-4363-AC1B-26A4327302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F79D4C-5863-4D3F-9446-4A9AB94DB5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1CCB426-4638-48AA-A676-288B4F4C24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114C0C0-4919-4C95-A008-C19D1435C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6E03275-48D2-419D-9AB6-404CEEC4D6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9466DABC-F49D-4848-A2FA-EC0716AB4E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8C67D04E-1D69-4994-80E1-4C1D300EC9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23E6CB2B-2394-49AE-A865-BCAFF30BF4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FAC09991-0132-4E99-AA70-6AB9017129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CC5EA20-A66D-4B1C-B938-79D500D62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655831C-F5D9-4FD8-8501-769E2F48F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1D5D0E1-0924-4AA3-B7C0-5814B61B0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1A8B83CE-54DF-4D84-A72F-95608CF066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E221AB0-052A-43BF-97AF-FB2FC1BA9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26E27CFF-D81D-411E-B594-FB44D2B5B3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19588C13-A577-4443-AE08-C02B32FD61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4354941A-54F5-4407-8485-7CBB54C008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F95425B-45B7-439D-951A-29719E18C6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6ADB38F-180E-457E-810E-F7839A1B72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471D7BC4-79D2-449A-9269-C8F0B16DA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FE8A326-58FD-4DC0-9B9E-94602A7238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B883E06C-CA93-4862-BCB2-6393EFE8DF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4524892D-1CDA-4AD6-B676-208978329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1B80D504-F0C1-4FCE-9120-B82B394C4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DD84E666-AB94-4A3A-99C2-94774C1DF9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13BEB5F-8913-440C-83FA-2F54935B9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495F3E77-25C3-4DB9-9614-AF15737D1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887AF2F9-00A7-4A70-86EE-5782A3598B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42C68D52-1A24-44F1-A0F5-44D9FE3B5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587EFF58-9416-4808-A153-9837E08EC5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D5A3A66-D1F7-4A91-82E5-543C0D740C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480C7146-5FE0-4AB7-AFCB-2CC8701BC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EBA5320-12CB-407F-98AC-CC7E9BD15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03B6E83-A318-41D6-8818-60D411502E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61FD10DF-1157-4F3B-B83D-AFF133C28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1734B13B-85B6-4218-8BD5-7E5D2DDC78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16AF795E-D764-4806-AE31-85FDC24E70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7087FAF3-B570-43D2-AD3F-C4DE1F5161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70DB6827-7398-45B3-822C-AE17DA977C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30FF24C4-DD44-4E14-B546-AB4F4BCC7C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4EE06BE2-8968-407D-949C-290E314245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5E67D7D-4BC7-4933-AFBF-06E1C08391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43877117-0A2D-46E9-81B6-A5DECCFA9B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5350C5DD-B783-4DA8-A6C3-511F96003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3B4B939C-5664-40B1-82B3-B202CAD280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2264F7C9-F586-444C-93BC-3D831F44F0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3EFF1C-D241-4D93-B528-3D40E6B5FD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93CDB108-1562-4AD0-9208-DD85FC7783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32F0942-C547-4B1F-898A-73156A888A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A49D523-38CD-449B-82D8-2931FA16C9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FFA2E3A-0DDA-44B2-AB8D-1504E424E8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C22E65B-408D-4514-BA32-19C55D6E0A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63AA204F-5738-491E-A298-DC34E54C0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F1E5F264-B8DF-480A-BDB4-5A9F8BA59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4664E757-4E0B-491F-9270-7B5CB58C1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AC3666E9-BD02-42EE-B754-BA985563D0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E8DE8F9-18E2-410B-9F33-46F42FFBB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D2FDCBC-B952-43C4-B2DC-5D0287A5D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3FF1751E-565F-4887-876F-415D0374FC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51729683-23D6-49D6-A39E-4187332981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F3C5D87A-16E6-432E-9C39-43F8BAC4AE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372F7C4-4A0E-4361-90BA-50897EDD20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6317C342-9041-46B4-AECF-6BD4F31B24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FAAE540B-F30A-4509-8A9E-9742C1BD8B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73D543CD-3BBA-47BB-AC75-B338D2A150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6549213C-084B-4B13-AA87-6D1856523D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ADAE0171-FF0B-4212-BFEF-885ED4D36A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89A694D0-7DC0-4998-935D-3E1DF681C7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5783A608-F0E2-47D7-8C98-1417279A96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1A4D847D-EF80-4A2A-9679-B5D4FB0456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240FEF88-0B62-4BBF-826F-02AA924AD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F4D69D5E-F44F-49AF-A4D8-8325FBD60C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DBC5D1C8-E138-4A83-9848-A1B4C512AA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6DDFEEE3-957F-4D8F-A8E4-19727817F2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A6A41228-571D-4D83-8A2D-292D5B73A9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9383FC96-CAE6-43DA-B328-6C9C637A9C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46457612-9888-4B50-BC39-99FC42CAAA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FABCF1BA-C420-4FA2-A762-2A6660666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A219D67C-94FC-4D21-8313-1A3E785352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81AC15AA-6952-460C-8DE9-7CA9B7DD47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CCF545F5-C7DF-447E-A815-5FF6E603E7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BB2F6EA1-61EE-4167-9841-D1F2487AE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43ADBC-57DB-4866-9D7E-1008178717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7C13C08D-7914-496C-AC00-E47425DA9D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9F75717E-8692-4404-9D46-1AC9ADCCF1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7DA605D3-FE16-4A0B-AA22-62F56FA7AD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A7CFEE35-93FD-4C7D-A0AE-5EB0CBD737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D36C01F-FCEC-42F7-BEEC-9F9F598E88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B7E2245-3EC1-45AA-99CA-1461C51F02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DF1A820F-2B3C-4F7B-88EA-ADA808B5FA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F6A1366B-7B7F-47C6-9D41-A8D974837B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8F936897-ACC6-4CA5-81DD-13D1B9DEE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A704B8B4-B538-41C5-A45A-E895C2E7D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F8015E9-FCA6-47C4-AB10-62499CF25E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CB49CA2-B45A-467A-A31D-3A16AE3DD1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36A1A894-9EE9-4144-8DE5-4109C2FE35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BBC9188-7101-4794-90B4-1EDF626BB8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42108BAE-26F8-41FA-9D51-19444D2B7D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B237F0A4-6568-41DF-BE96-51925325D0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67E0F01-D841-44AA-A50F-863C2415D1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887BC47F-7A76-4E1F-B6E7-DDDF2402A5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3E2A303-1146-46D1-AEBD-9D68AC2820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68B5DCA-CD2F-41CF-8A97-2B73E7C64F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0DD6A1-141B-41B9-8DE2-42EC6A408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53BC95D6-CAC8-44B1-9A14-6FD5E4962F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7B6CAE9A-24B8-4D87-BBB4-FC73D25EAA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3D7FBAF3-3E38-49C1-A0D6-7CFCD046D8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6819E630-F183-4DAE-A312-73404FD765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AAE94051-3327-4422-BB90-980C96B268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96D550EF-361B-47B9-9418-4AACC55581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9E6211AF-AB3B-482E-B810-23EDB29EF8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5513A8E-F161-424F-8763-D466792130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573A8827-F6C4-48A6-9D0A-718650E2E8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FBAAD16-78D6-43F8-89E1-F87E8CD296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E01F94D9-8C1F-49CF-9C3A-5C59DB7DF1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A720FFBE-CBA5-499F-8BFF-576A0A311C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3319D98-BD3E-4779-8D37-62ECF8A48F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C7C1199F-2DA6-4895-BE53-D576B83542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6458093-212B-4DFA-B3C3-58928382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DC92E4C6-5B8E-4D9C-8506-EDCBE55BE2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F22BB1D9-754C-4070-AB06-B85F12E2A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7E07B1AD-2E92-4032-8668-F18483B069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0129D69-FB0D-4757-B32C-02F8D912AD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66AD45FB-2107-41B0-9D4B-73DDF5FFC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30A0CDC-7EAE-4901-9608-C7CDAAC92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75B24C2B-802F-4393-9CF3-E3E0290A73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42B9A50D-4683-47C1-91D5-3BC28DB924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40F324B-808B-4083-AB27-FE12751D3E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B4DAE690-9325-49BF-91E9-1EBCE35EDD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6749821-C9FB-492E-870B-510E50E21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9E0842BA-4488-4AA3-9D81-AF0378AE7E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2FAD8239-9C36-4140-B0A8-802DDE7097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D4E9F5A3-38A2-4666-BEDB-1B9589EC5B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512C2ED7-E740-4873-A5C8-4CA5F06C6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7CD7BDBC-C1A8-4ED1-99B4-AE9F35A751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83F1AC29-3EA3-4265-9429-B5E0F4977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B74CF685-36F2-4723-A112-32820F9ED2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39505A2-DC5A-41AC-939A-5A1BBB5BC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CE986B8F-E3AD-4DCA-948D-AB75F854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5D39D7C-464A-4E8C-ACEB-279B16AF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F1C33A7-DE21-418B-AA82-8152553C18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60BEF251-0C32-4EFE-8DAF-5A040ADB1C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E79099F1-B153-4161-96E9-C1A9380DAF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8181CC37-0BA6-432A-96AB-DB2241E139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BAAA1769-3FAB-4F98-BC5E-F2E1D140C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C04E4F58-017B-4434-A5BB-588BA8893E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413B9C2-03C1-4482-A52B-4EBED97B0B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666906B6-9B66-4614-A49A-BBD45DA759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EBAA59A9-4B42-4058-A3F3-04DFFD4B96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D2D38A1-3595-4A1D-979C-587B85027C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C856D64-BE19-4D80-BAAF-EFF946D2E6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FB6BA92-6CAE-4A20-98F0-F910FBFE76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F70D4E54-E2AF-4275-98E7-D582EE29FA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4C9F533-039C-4568-AF06-E9FDD64856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6508778B-D928-4792-9229-3E3A906EDF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8084289-9FD0-40CB-9404-6F147B9882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6ACFAF9-2B29-40F7-8CE7-968C1E26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3402F38C-8E57-48F5-B64F-AF55D13470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2480DE1C-A7EF-4C4C-8534-6A4D69218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237E89FE-F019-4C3A-A537-CBD01DFC72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3A6BAB9-D92F-4BB1-AB2A-D2340ECD8D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65EAE5ED-91DC-4407-913C-EC31C0E4B2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8715E879-A5B1-4149-A136-E48968AED8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A09EF809-7E8B-435B-9C6D-62326B364B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1D39D1AC-483F-4363-ABA1-A0BA888EF5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656CE1-B699-4164-941C-1E88EBFDC0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FC82ED6-4A22-41D9-9B01-6D79212D8E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583774D-7BB0-49AB-90F7-34ED5F487E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5259534-F726-418D-9C27-6F99C22DE9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B3A9190-62E5-4653-B951-2047ABB673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AA5606E6-F876-4DDF-8C22-668E8B6F4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529082B6-AEA9-40AC-B0AE-9FD04F9B23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DDDA0DA6-C396-41DA-B123-47F433BC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71759EF2-7980-48C9-BF8B-73FACF1514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BF2B97D-C868-4476-8F16-8F1831BF90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191892BD-9C6E-45B8-9281-C46453B8FC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84437BEE-B7B3-4C04-8F01-EF2FB713E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7B7BA230-B725-489F-8A8D-23FBDD991A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5C1CB920-C59B-4B23-B56D-E7F243CCA9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2001D44D-89C6-4D98-A712-2CCB7D6440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FCA94F1-612B-4F83-BFB0-0B7FE06889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9C502C11-257D-40E7-B435-944352C5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166DDF4-507D-4880-9D4B-7B6EFB586B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AB8D6D85-506F-4D51-96C8-8DF0C750BA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1DB27B0-AB62-4CF3-8FAA-DEF34741C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41F4F3D-8D4C-48D6-8993-521BBBA49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8B49C714-E26E-4CFB-8C39-E3495B94A6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1A920A9-1926-4CF6-ACF2-A0F17FF60A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FC98229-5F5C-4207-8EEB-A8470173C1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741A0DEF-B74E-4AF0-8C1B-F20EA8D83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9CAC2051-C631-4ED8-A946-1D2CC09F65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321F240-080E-446B-BCF5-32EF1903A6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36A81D9-0AE3-48F8-8664-E6B4E74311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462A1586-A819-4896-98B0-1CB7B2DCB7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B4EC05D-FA44-4675-87D5-AE4A4EAD5C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E8F1241-0AED-416B-8C32-3639EEA294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6FDE337E-D902-42D2-9E63-55BE48264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49229676-1DA7-4760-B184-45C79331D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DA06E468-C1F8-403F-96C5-8A1E74D7BC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2D4DBDE-1AAF-48AC-88D5-B75548302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1A4A0CA1-4D99-4780-815B-457CCE41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5B82A5A-16CA-4949-B3FA-EEA5D31AF2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993633F2-E986-40BB-8FFD-5ED36EBFF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30903C50-ACB4-41FA-9716-AFA7164A27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5DFC015B-2414-4F8C-9437-ABD4AEB433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5D662F50-C65B-4CC5-BF01-A8469631D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9F994012-4549-4030-91A3-410A4C883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14A635C-3930-407A-BB2A-9FC8A62D2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41A6FF31-C309-4A70-8389-725276DA6E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AA682E5-EF0A-43CB-A230-38660CEC6C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A5AA250E-31B5-4057-8C9B-8B159758AB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567E555A-5F15-4405-B47F-4B5E0A639A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E4AECEE9-8D6E-4821-83D8-A5EA39173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42B4FE19-4574-405E-BB54-EE110E911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C1CC538A-0AEF-4720-8849-D22C7EE70A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2AC55867-13E2-4E22-A315-E2199FFB80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A0EFADB8-413D-42C5-BBF1-508CC818B2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7ABDC5A6-A816-4674-A3CF-7FBD023C99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AFD5E126-73BF-401C-A517-929152E0A5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2B2ED82D-58EF-494F-A4BF-6230824553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23FC8445-7D19-469D-831C-CAEB571492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2C4F5170-0FB6-424E-A137-F0ACF25C6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8DAB55A-5D81-4E57-BAE7-772AF7DABB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F8CD6311-A74C-4468-9FA3-AB80F37476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EFC85026-2DBB-4299-A6A7-492E7677D8F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9B48056A-5CB3-488A-9181-E24E61DDC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44DF530D-C0BF-4691-95F8-07D9AC6FD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9D3AEFD-C7B6-4C20-8465-373AE77F7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2C7BA20-AF9F-4B2F-B93E-383347AEDE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8EB068E2-A538-4DF7-BC37-2F5E27590C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CEFB7B7C-90C8-4B0F-B783-52A36FF2A8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267518A-1A34-4376-A85B-3FB639D2BD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5C4713EB-112E-42DB-8717-9E5B7A5DB5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017F7CF-5A46-4AB8-A3CE-F40F6F52F3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6D9BF803-3EFF-419B-A5AC-896A286D8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1BBAD7B4-2B3F-406E-BC90-677628D02E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ED11BB-83B4-4B6D-8A23-90C9A06F8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E7B697D8-8D6F-4AB6-84EB-014FA95F42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C8E992F3-6CC5-4A90-A72F-E64F34255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2D837355-A450-4594-9204-B6F48D82CD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A4CCDC37-0634-4C82-A8A1-E981B9F5A2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D3089F72-5160-429F-8DFD-48CB359820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92629468-B374-4C1C-9012-420141A03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50BDC09-CCFE-44F7-8327-CB0139DFA8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DEE88424-8EF3-491D-93F2-820311067E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5C59A56A-0DB6-41B9-9670-F50C0292B4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1A1B1DB8-1056-41A4-9F66-B028A1A96D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35BC1D91-30C4-4547-A34C-079EE99CB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E405B718-8719-4D49-B171-ABE51DE0F4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781A9232-C823-487E-9636-7068775B45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51376782-74C1-42E7-B356-FAFEA6354B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FD48243A-E11E-4C8D-AE1F-F3E7711FCC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CDF099A4-0A7E-415C-B320-44C3ADE02C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331B59D1-5831-4921-8458-05CD5F149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F6B2B57-F682-4C6C-900E-4DF05D943F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881BB2AE-CE7C-4014-9474-9463226E55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F84580F-66A7-411F-A24A-E288097706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DC51179A-6F70-4005-93EA-F02EAD59BD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F0522E58-970D-4949-A57D-903F3111D8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80E29BBD-7E0E-48C5-BD02-0F61932656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154950DE-ACC2-476C-8A47-A9BE55F83D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8E44EED-F884-4E66-9F3D-437714E0B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177A8A3C-7BF8-4BC2-86BA-F712392679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8ED252D0-58E7-4F19-A095-AB3469106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7751A53D-41CD-4220-82B1-9898A58CAD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14168211-CF03-4CE2-BF3D-A9AE48ABDB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45265B3F-0B57-4405-8732-50883FAFF5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7C7D057A-552D-4CA5-8B51-C5ED341424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C657C18C-84A0-49C1-A108-5FF396B1CA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85B0D221-854E-448E-835A-99C851E32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376B24C-DEA7-4E7F-AA9A-00E77DFD45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C34A8D8E-4848-416A-8593-A5A4807741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9899E953-339A-490E-8453-3600E8D86A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32C449BA-052C-4D81-BDA1-DFB0CD5A0F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0B569BB-4C4C-456C-B9C5-A74208C672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C17A525F-489C-4185-937A-31F05DDD2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EEF05B72-5560-4B0D-B98F-FF912C1E8C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440DE4D-1F43-4C53-84E0-0FA480958F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B48F4388-F493-48EE-BD6B-7B2116B0A1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AF00186E-3777-40E0-BF9F-54092D69FA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CA807EB8-51E2-400E-8F0C-13594B147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54F2F104-2B9E-498B-AD8E-461958E637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B8A7A79-A8DF-4B93-9942-A3072670FF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D4FA3B3-6E1E-4756-B681-B2C42CB1D9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C8234874-A28C-42E0-A12B-702AC32EA5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54BAD0D-95CC-4C1C-BF0E-4C91FC6CF9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4BFF227-3A6D-4F8B-A6DA-4D5C059D9B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8AFDE86D-5DF3-4D53-956E-8F1BBFC4C7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5BAD89F8-C4F5-4527-8871-2AFEF0A70F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E7C27489-D225-45CC-8C03-860C9C6EA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E48F5619-6AB0-4A49-9408-58DF01198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BC16FBF8-7912-40C6-97E8-7B980BAD3A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3A9BCEB4-B235-4281-8098-1EB7E6565C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7D1852A1-3ABF-41B8-BFB0-5CC5304526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DEF69BD6-8FA4-4DB9-8377-53B90A3B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5D653244-3503-40E3-8164-0DEB9BB18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FCA0C88-3961-4549-A510-C596A82F0C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D32B8A41-8029-4E5B-A401-0311F1C2B2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940B8B00-6E90-4F20-900D-396E269FBA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4F5A37E-3D89-461F-AE14-E29F81C7A2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261292D-08F2-4984-A123-764C761241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BA6DCA8-8380-44EF-8C9E-C48FF71094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E33846E-FEB6-4227-B0EB-0853096102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C571DA66-754B-48FA-80F0-BAC662A656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BB50C532-24DB-4F5F-8D2D-F6EC455FCA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F489A90-19A3-4F37-85A1-68A2B1BDC3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F2E39BAE-FCD8-463D-9002-55C6787B8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BA2EBAD-631D-4068-8FA4-060D8EBE9B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A2A0A40-F2E3-4BF9-BC36-81B3EC3B2F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60A0842-7D17-434F-81D0-968190A2D4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FBD738A3-BE0A-4770-9DE9-E18AB98599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35790FF4-8B57-4DEB-AF89-0B57B8A3BF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7CC94F78-E46D-4776-A81E-321FDE61D8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E50A4983-57CC-47D4-94FC-AAB451601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7EA64E4-0AB9-4946-B352-32A179BAFE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70EBD15-B7BF-47D8-A048-FFF625DBF7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3413C85E-84C3-4F13-A490-A4C2C27FB0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CDF4EF8B-D3DD-4F31-AEC3-45A5EF2FE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B45C8FF6-0286-4151-9AA1-C06A0B60BD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61AFA3-44C7-4D48-B82C-FCB1ABCEB5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2105AFD1-FA7D-4878-866B-5F62F070C2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1DFF430-46D5-4293-9FF5-4B451A329B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BD69853-850F-45D0-8066-91C6ABF4B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FDDC14CE-03E1-4315-9C30-88BECD5F97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F0CB3AE2-1084-4EBC-9A13-CFAF52B974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BDBE885F-90D2-45BC-8CCB-A9A41FEFA1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3977CE43-D00A-4A7B-BBE6-663D859521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3EE511E7-EF65-4234-81F8-CAE2C92BF1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A018D87-40BD-4C54-AF47-8F76B7F5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23CD4DD0-632E-4CE9-88D7-F72E23B4FC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EB44075-9878-4CD5-BE91-F08123EF27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B82C8E35-800E-4584-BE13-E14F6C515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4DB3BD39-40B2-4B43-80CF-BE8D05D356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86D6A5B3-0849-47E6-BD63-0570CFE7CC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12A18DAA-CA45-4087-AA81-3117285B83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F12EC7B-3C85-46D8-B82A-0E8622E730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A6C87387-528D-4D9E-A967-E29322FBDF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6E0183F7-AA3F-445F-853F-40BE0151DE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B84A1A50-5700-4248-9DB8-28239549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3BABC949-BEE1-48E1-ABCE-1E21444FA1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F05E1D46-BBFD-44B7-AC92-5184ABB8C2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50A5D3F-11D8-4FB8-A00A-7E4EC02EF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E3E9BB2-8C45-4D2C-8AAE-18131C58C8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932F70BC-FDF0-409B-9BF6-A2E39B87B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1C65D9B9-FF4A-480A-BC88-6F725E0441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EDF124FA-7803-4CA5-90D2-BB39D934A3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2D41266B-2AD2-4A11-B762-7D2245714FD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EEF3B6B-81DE-442D-843D-DD4FCC020F1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5786F145-E67A-43CA-B6C1-5998A03E21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AD998BC4-9790-4D3B-9CF6-2E24BDD9B88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78198A53-7E56-4892-A6C5-F2FBA7B711E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40E6458-9A2A-49DC-9AE4-D3A7C5A87A7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561A2ECF-71E5-4466-B72D-DA156ABB2F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9071B72D-835F-4EF7-B044-F311E60D40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80221003-3B59-4CB5-959C-2A3E21B462A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ABD5AD05-53F6-45C6-9F98-B2F002073D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F497CDA0-4FDE-43DD-848F-59E1545518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7C3A08C8-EF3A-4FC7-857F-2696262849B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EAFE3C0C-D261-44B7-999A-93557882E2E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721F040D-626F-45ED-8494-2566DC385E8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F9046380-F290-445A-B3CB-A9F2CA81617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CD93B183-74BD-4548-9632-156DF5E3A32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2960D27A-2FE0-46FE-AA59-CFAFB5E85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5FACAA6A-05F9-4768-A512-C756928C35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CCDBD7B5-52E3-417D-ADF0-FE5E4D4A90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095817BA-8C81-48C9-9D0E-D9CA3021F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DA4618FB-4F10-4702-AB20-5A9588D056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AC9FB736-F4A7-4B36-96E3-0DBA9FAE8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CADF2F05-497E-4373-B1A8-C1146CBC54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1C324B60-0FB8-4A63-935D-F2F43C5775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D6BD00AA-0353-460C-8A98-B26C08E37A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4D97484F-0EE7-47B6-9FB1-4D98F15EF4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6E6ADA5-CC94-46C5-B156-4E1FE97E9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B0618156-511A-4FB7-9772-B696958776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DA14B79A-A5DD-4DFF-8E8D-199BAF27F2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928691CB-C3EB-4628-8A23-09670579F2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DCB33808-E5AF-4DCA-847D-A467595245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BC636A37-AB65-44C6-B89A-FD4ED3546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0ACE7A6-6AB1-4902-8D1D-A07CBC3C2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C8B2E87F-437E-433B-8B92-81D5E159F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D0B9EFB-9A3C-444F-B7CA-6AA03B3AA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09D740C2-7CF7-46F8-A05D-DF509EFA00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3532A5CB-0106-4B04-9731-9BE059FFB1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D5A4F4D5-D895-4DCF-BE7F-C907EC34EE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86D21754-AE56-443E-B6AB-7245AAC02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FC8E4928-8AD1-4993-9E4F-EE63DC628E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818532F1-0E9A-42B5-AC25-2D2F653391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0E059655-567A-44FE-9BF7-157EAE5077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2CBAF440-DD57-4D24-B5CC-AC0E52A615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FFBA332D-08E8-4E80-BBD8-7E8DDF2CF6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DC95BD1-C431-4C56-BE84-F61C1CE181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D72E2489-55E1-47DD-9D2D-C725CD1FED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0692F5F2-77D6-4194-BBDC-4D40D2963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12878D95-E8A8-44A7-ABBF-16CC64E3B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D9F375D4-FEE8-47DD-8299-7F786A67B9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31BFE1EF-4691-4B5A-8649-43674BE14E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B0D2F94E-58A9-4133-9FF9-30BB352B1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06560335-1A76-4F3B-844A-7ABC00DD6B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6596758C-1E97-4CFA-AA73-166DB7F878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37509B3A-CFB6-4146-BC3E-723A2FB0CC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9F971B2-E372-4689-9843-B6E938DC9A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1A241FDA-3DCA-45CA-86D5-65010BAB8A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6C950BD8-3253-4F42-A279-E2DBF877BC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BDDA1943-1866-4434-BAF4-DA44B1742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154C9453-5047-401F-9600-8AE4C6C72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74E8662F-2403-4D11-A227-B5F6B5B57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B470B7FE-E7DF-4187-AD79-134469E2B5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59DA019B-2AFE-480F-9C34-2684D0115A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2563AF78-0CC4-497F-A011-AD9B0D76C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F6962604-E3F9-494D-9FAB-8B98D7545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3893BBB4-D7C6-4995-9891-01845D102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B9451D2C-D934-4428-BE0A-2A548F8C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94A8EDAA-B52F-4EAA-9125-CA309CD7D8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9C0C00F1-2F56-4A39-8E4C-D47454C931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48FDA44E-1E8E-4B7C-9265-42E639F5C7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6CDDDCFD-44D4-4EED-ACBB-86B5AEB65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9F81E759-F60D-4F75-90DD-EFF9732774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F5BF3A2E-CB87-4541-8209-4EB2143C72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D3AA2F98-60D3-4A8E-867B-0D5929BD6E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3A39BEE2-97DD-4C7A-A77B-DFF1EBF8A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9779FD7A-1747-4D2A-94FA-3ABFC2A554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76B444C2-82C3-488F-A192-283CD117F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93E9954C-7C3B-4430-8D66-75AF9E1B8E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3A7C6535-8F77-4FA1-B76D-373D61EE0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77572A23-8A89-4ADA-942D-25F9BC7701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8BBD1F4A-D99A-4565-B6F5-49E089A132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8E3BADC3-DC54-4AA0-8B92-82F0F3F007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D1E05D0-0910-4719-ADAC-10A54F95C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9099B770-3EF9-4621-9065-773BD3EF2F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83805DC9-FADC-49F7-BC86-726A9CAAAF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9CEEB5D0-9023-4046-A23B-B31504A62E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D0EA4E23-5B65-4B57-9A4E-A223C010AD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20B6BAA7-6A5B-4055-8D4C-2CAEC8AC84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4C9A3314-D54E-4EF9-9CB2-CE62CC758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ED6DF888-E03B-4320-B740-C695EEBDF4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C04A94E8-1E45-4534-9718-08E99EEDAF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B97DEE2C-AECA-437B-933E-B105ED2E6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7A8FE4F6-DC69-437C-978A-4979ED534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A2EFBD85-5B41-46FC-984A-644635F9F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88FB2AB-E1F5-4D67-B389-B4AEF003F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ECC7CFB4-1F67-46A7-8B94-B9B1A5953F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39DC9850-ECCE-4139-A79E-1D9E56AB76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A128294B-6B08-4471-B824-FA6F835C3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7CF7428B-5EDE-467E-85BA-6F2AC312DF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35355E6F-7AC3-402D-8435-5AE3CCC553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EE50F205-E813-4D80-8AE8-B70FC646B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37C72FCC-B0FD-4201-AFFA-8A776D11E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69005428-C46D-4FF8-91E0-41317FB1E4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D18EB1E0-CB9F-4E5F-B0AB-2C0C22442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FA58EFD9-BA18-4BAB-AB43-B62C04DC7E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2E24A91-28CD-4435-8AF8-9A5BE99234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07112976-2B80-49C4-854A-C6ECEE5638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853FEF4B-5924-4DD1-BCBB-CAB740F88C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15648D1E-1834-4B22-943C-B169C4FC63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B1BE4B48-9C32-48AC-8707-6682ED1444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C83D445C-D6C1-47E5-A977-43FF7CEE83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9D19521D-95FC-425B-8038-9DA510A88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653CD4D3-86C3-4715-99A8-D2C26AB835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821679FF-AE96-4E88-9CA3-015987689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3265E783-5FFE-4271-AED5-AF58F286A5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F7B2D5-0CB8-402E-8A6C-54BA9BF803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C0B0B5A7-CFBB-442F-9135-0C852EBC1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C9B9AA32-CAD4-4289-8E3E-C994CB46B0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6AAF4557-7AA2-4945-A493-A163ADEEC1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0509FC2A-04C2-4F76-B484-238C85F201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FD3D3CD0-E237-4346-96E8-5020C9B091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0CC204EE-3551-495A-9659-57428ADECE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7F25C6B5-11F6-4F3A-A9A7-329E627974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E1867453-B737-452B-8AA6-81C150BF94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931C408E-3C7D-4210-A215-85E3B8DB5B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19A6D538-A044-4637-8168-531D6F0554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2BC1B182-4355-4A27-928F-BE45FFD579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5CBE5B9A-699D-47E8-B32F-F1A3E3168E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3BCA1871-F3F8-4089-8C15-88585FCD54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01397606-2887-4109-848B-5A8F2F4D41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B5609197-4EAB-4FBF-B8E3-1315E063C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8B142196-7B1C-43EC-84DF-1BA6F9C7D2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E6E742B1-8A6C-40C9-A70E-01C7F591C7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72E645F4-5B41-4DF9-B57E-5553318F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C5B7DAC7-045C-439D-8D48-80850479F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61A0D6EF-79C5-408A-8F6F-3776131363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01C3557F-F3B8-4A20-BAF7-4801A540BB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A37E915E-B88F-4501-BC46-4A966C0DD0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40AD345C-5730-473D-B9C5-2623C31392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DD6CFC03-7A0F-44A0-AED5-3CE66B078B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3BC8B2A-0377-4409-85DC-F40D369AAE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3075EC93-BC2F-4E34-AD63-6F4C3B55D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8FA63966-CD44-4558-9902-EF930F6F7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EFEF458C-7747-400E-894D-6A63D5A867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87067149-2F18-4706-A1DD-8914A981E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3AF7006D-D4C6-42E5-B60E-EA62E1FAE6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4995F950-C2D1-4EFC-88BD-D42F4D0CD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D914B5-6BAB-4CE1-927C-E7F0C146A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B306B193-2343-4FB6-A508-D4B0A67CC7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4C83452-3B2D-4F5B-B93F-CAD56900CB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76F46C3-14B0-4976-9166-9D72E5A9D0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73C74E5-2A48-4AD6-830A-6B4F11A11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F05500C-34DE-4EBE-9926-13B079CC65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BB34B712-53F7-4833-98B3-BAF9FEC415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498FECA0-8471-4982-99D6-E74E71EECC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7A53DAE-7D0F-4714-86F2-48ED13521F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888C8BCF-4F84-4FC9-8DC6-6E614E736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1DB32C4B-392C-42EA-8511-778770DD4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244B995D-CF41-4783-AE2D-A95B5A813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E14DC913-46E0-4319-85F6-A68966DBF5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EBBACAB6-C562-4154-B2CF-41C3CDAD8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0315186A-38A0-4D66-8F64-1994587957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31BD3169-6E53-4F36-B7F3-AED779EB2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A844D0B2-5EE7-4FEC-83D7-746BD8269B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04DFECBE-7D70-45DD-8F6B-D926802C14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2C78B1FF-42A7-4FAF-87E3-A4C82E0EFD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C85ADCEB-0B3D-4197-92C5-509AE31A82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60623B84-1C8A-4BC5-8FDD-07D0070F1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80F4C3D5-0C3B-4B55-8F28-A4C8D2C99C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6043B9FC-BD44-4A54-AEA6-BCDCC7F02F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4EE774F4-02F0-413E-B331-5018FDF53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2BEE17CC-97AE-4E88-9D4E-454717BBB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954375A-5F9C-40A1-913C-B15D726A40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1EAA15A0-9B2E-4217-AEA5-2C31C866B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428A1BBB-BA6E-4D92-93BB-3717E6B4DA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9DD3BDD-AC41-47B8-8C56-08B58E35D7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D54F2597-E712-4D86-8A45-D2E77FC15E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D288F118-968D-4A18-AC64-3E6D1AEEF4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109FCBE2-BD3B-48E4-B01A-98A67AE098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A767E8-D3AD-4143-B93A-BD4DADE12A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ABF184BF-6B8C-4C49-894E-671D2460E4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5C68F1D3-BE89-4F99-9754-552BE57511B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660FC559-7AE4-4D28-9617-BC6BE2445D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FD64CA88-252B-4493-9C2C-5AB5FF14B4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127B9B94-DC63-4646-A1F0-F5556B95F2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A31F7B25-3504-44E2-A0D7-F3BA7B0C30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B8B6E6A2-253B-4BA3-8239-11D2851FF7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EEE1C542-DA7D-4969-8CE3-F29C57DCF4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7DF6651-12B1-4B0B-B8E2-E86E14476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3FE331AA-83A7-4101-ABC3-7EB9E5BAB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5D6E5C27-D691-4B54-97CB-FDA05DDB6C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BE8379A6-C94C-42B4-B890-8C2516D9A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7ABBB84-A271-474B-8823-8E889B00F1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463C9662-C02F-42A1-BCE1-4A40A4C6CB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C677B5D2-5A5E-4235-9DF9-DA41B4BEDC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A2D3AA4F-ACD5-434C-8C16-9B90834E6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F006F66D-465C-4493-99FB-AF46C815D2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70C3E53A-24DC-4255-A456-B152FA00B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ABBA48F3-EEFD-4A72-90E6-E0435DA41A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2B033330-FFB4-45A8-865B-7226439C49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58A37623-EA31-4DA9-87F3-BBC16383B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3F952819-B3F8-4470-8032-06DB411895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A7D0FEB8-99EF-42D3-839C-566A8470F9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B96619A6-443F-492A-9160-2A910C318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7BCED6D-90B5-4523-B42F-B5C13288C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506AEBEC-FCD9-446C-A295-DDEAA2EAC2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2C567F13-8D22-4FEE-AD96-FC2A83CB2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E3D33CDE-3940-4524-90F0-3F2DBE44A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04EE8181-DB50-4B5F-A0DE-9AF40DA26F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62A64B4E-99A7-4135-817C-7E9752D34B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9AD69853-6BC2-4442-A36D-A66E636FC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353BF617-B897-4B72-A588-C09F7CEBB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0A08C4DE-1683-4FED-9CF1-5F267AFEC5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4A16FE8F-28D8-4AE4-B44A-82DA7A771B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E3225FE3-FBB6-4E60-B638-954B08CD5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0642CECD-AA46-40D3-8DBB-15EA28FA9A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BD46D269-BE70-4ED2-B3C0-666D9208AD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CEBC6D40-DEB7-418A-80D2-1DA1AA5779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7D8BB03-CFB3-4AC1-8283-ED2E2A50B5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6AC89F4C-2C82-4DC8-87D0-78642B1DE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593BA39A-4EB7-447A-85A2-8A113B22E5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5771A8A9-8220-4DE0-A4F1-5AB6913DD7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0B8D8BFA-31AD-4EAD-87D2-C72C928A5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336A2B42-CF71-40FB-AA0F-94E681F104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49670D6F-D263-42D9-ACB5-86D345CD3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763E386-0704-460E-A8AF-FE05F5AAE5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BE103F78-522C-4A16-9886-3CC2DBB5FD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1EA5ECBA-4A65-4699-8868-9E8F9FC9A7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EC312A01-9334-4C16-BEC8-3A7C6B492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9DC61A99-03BE-41FB-AEF0-AC5381A149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A2AB92B9-46CA-4A91-9DFC-C6EAFAB884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1140BD76-58E4-477E-8C33-38A0DB322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062AD20B-1E62-4C0B-AD81-66A1AA7ABB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D6A46810-8983-4F8F-8461-5A5A6A990B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A2874C7F-F8CA-42C9-884C-319D55D92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A28C5052-4369-4C32-ACB1-D2E6BC6D5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E6FED1D5-834B-4680-962D-D8F0C0DD74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351DDDF6-EB5F-47A4-8C31-269C8BC07E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706BF200-5103-4BF0-A46D-0D3673E472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86FB472C-3AA1-47E1-9D8A-7C9B411228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85237C91-7D10-442A-AFD8-760E60104C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0F472AFE-F5EB-4AFA-B5B7-596B386768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8B0622DC-93C9-4C85-9F0D-F005280F64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0815DA23-4CCD-4418-8C5B-39F5193C91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B9326644-E934-4D46-BB10-A2F5976BB5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5E5C0899-C3B5-4522-A4E0-239E74BE6F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35E7A1A7-69E2-4676-8EDD-8A6731C9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EAABBD72-110F-476D-B6F4-30F775118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7FF7B6CF-57AC-4312-A99F-858C1E6EBB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667EDFA8-7A39-46D0-9825-23BE573866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46A66841-53A4-4E5A-BB75-3A1D1F0E4B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3C18FC37-E292-4180-B2FE-35AE88C7B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75EC562C-8D8E-4BC5-BE61-32BF75F527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587733F4-F1E7-4452-B39E-F01F2657E9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2DC67131-6F31-471B-978E-849DF77C8A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4C3F382F-E1E0-453D-9139-CCE247968C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B9318AB7-BE32-4AFC-AAB7-F0E348D7AD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8CEA2C1D-629E-450C-9AE3-480F15FF40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ECF9F380-51DE-49AA-88C7-05B5C1AC49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61E7E22B-0E2A-45A1-AB0D-9962A1044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5BE8D03-FCE7-4CED-BBCB-F16112BDF0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0BF7A494-0BD2-4A4E-9596-49400A5B96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36A8B8FE-4AB2-4C3E-8C06-8FAF6D382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B93A1165-F847-4D9E-8210-9AD1BA0BE1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2DE25006-7908-4F55-AA84-0AF1440EA0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D2C1840B-73E9-45C7-A98F-1D0C3B7085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B48A702F-F66F-4F89-8EF9-4930C3AB81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4122ECF7-1BDF-48C8-8061-B57BBBB80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A2618B6-75A9-4ADD-A0F8-28032E0DF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39FC8436-EF9F-48F8-A0D9-15DEEFF11C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B37440E2-89E2-4A49-AD26-87FDA5D73F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535C413E-1510-4B3B-8F52-93B54BF5DF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6C0516CD-31B7-4918-9337-907F2F9E86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6DFFD818-ED95-4CBB-BD42-D3B1025B05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F319FE3-C4CF-4906-8A77-7296788862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8A537E66-73C7-4511-AA36-CCFA704857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6234D71D-1F9B-4480-8C0C-039FE64C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697E6E63-470F-4305-8955-3CF0D7B14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74F9E305-7AF9-4D28-9F20-49B65A5A0B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AB300C2-29E0-4AEF-B5BD-5E43CF41FB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EEEE52DE-E951-44F0-89C5-1AB03A40F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E8F9D15-3859-431F-8C88-ED70BD0D50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FD64F5C8-C34B-454C-B367-1F3519796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FE7AD46F-0BE8-46A0-87FD-BF205D7669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3715DBAB-1E08-49F6-AB39-8369842FDD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F3C2CE14-57F6-4FD3-9687-8A1BF5EBA0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5FA21B25-C406-48DB-99DE-53582FFA31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36F6EF6E-4639-40C3-B864-C7FA69F343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FDCDCCC8-09F9-4C90-AEA6-92D646DAC8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5FAB1459-AA17-445C-89B2-67CEEEB10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40A4D4CB-DD87-4729-8833-53DA1D2ABE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56172978-13B4-4157-9C05-760297A9AE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A1E7BF4F-A486-4CEB-B7A6-3007B6388A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CA680668-6AFB-4863-A036-898E593C7F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E4228B58-CC0E-4178-A06C-FBFABBE8C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4E0C7C52-EDB5-4311-B381-8240EB1A1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53E3C3B6-B856-45E7-A0A1-B3FF9FACDE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850D5C2F-EF8B-4306-92BF-9F226E42B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D21184BA-98AE-47CA-98BC-9187F3ACC6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73B1E5B6-6FA0-415D-9054-8253065190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986B94AB-CFD5-48E7-867C-C7C2870AA3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EDE3335E-779D-4EFE-96E3-B89FF1B94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68D22AE7-069E-4C82-965D-9BC0EE8F27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7FEE635-52FB-4498-AA01-F4958F595B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359B1998-D576-4B6B-A2F8-DD2AE914B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779140A9-6737-4623-BA7D-68AFB49C94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4AED907-05CB-4475-B54F-62F3490A3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6EAE23E6-7949-42B0-8E44-763AFF7765F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BEA5F776-36E6-4FC7-B299-97BCCFFFFFE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60A6A4E-68EB-45F6-8AE2-BE6020755C1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F1DAEB45-CBCA-437D-90AC-F9DB4130639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E7FA7EA0-3721-4809-B0F3-7431EB00C39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DB547EA9-5559-424C-88E8-39A1FF039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E33613F2-78A5-4795-AEFC-57CC848DB34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56E28E94-7DD8-4936-9522-E8F5AA86DDC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24F01C9D-F404-4E63-9432-DB4F53038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F01AE9FC-D692-4CE9-9681-9BD4E44F89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900B6743-9871-4462-9B82-AF7AC85C51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B3376B1-4B0C-47E1-8F99-D52BBF3A09E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A2BAFBB9-F3F0-4823-858F-BD26FAFE0C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CD8916F-0645-4F5C-A979-EBE78AE137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F782B30B-DA4A-4945-B061-14E12410670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F70E8F47-F8FA-4AAB-BA30-7CC127742C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76D8BBE6-8F32-4116-A48B-88DC3E758E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D7C6ACD4-B19D-466F-863B-129C5BF618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5D1C446-BE25-4AA3-B1CE-A3AA65805B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291644F3-5B47-468C-88B9-DEFE8C294A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4DEC6640-C5FA-4488-B984-2E17CB5953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1AA363E0-7252-4130-B1F1-412E45B94DA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54E9759F-B9E5-43FD-8798-7699882F5B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985A810B-39C3-4065-9804-E6EA8653A9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684EE7AB-1C5A-4B57-9DB9-A210EE16A4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8DCE7049-0462-44F5-8189-7DE0A925710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16DAD8CC-FAAD-46AC-9267-863E71952D7E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9DC87A89-F92C-43FD-9D70-3EFF33A521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7C8FBA70-4B22-4606-935B-E9C7C1B996B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27D6FBA0-E58D-4164-A6E8-0762E27E72F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86EF0FC-C098-406E-A60C-27BBE094A0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4F033479-64EB-4BCD-84BF-39DB5CAB7B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B0D6D0F2-9355-4703-9FFD-A998D3D9FAF9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5B89B61B-1161-4771-A57B-1359B79838F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2717204-BD98-4978-83D0-A973C7F9DA6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F0209863-E742-4118-A68B-B2F67D4755F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C2E758E-6ACD-4170-BDAE-8F33A3C79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A713A966-37C1-4670-98D3-637CCB7239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5BB2FEA-5483-4CEC-8628-9DD4E616089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EEC296E-963B-46B5-B2F5-E0CB6711E7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58C3ACFC-E272-4324-B0BA-C706CDB57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9C9D45FE-E556-4FD5-A94B-3CF0454807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92E12CE8-A22B-4950-B48F-64881C71E0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BCF697C9-4DF2-477F-A871-49C11114B1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4C478A19-E8D5-4AFF-9B43-50E2805942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FC84FAC-CCE2-4914-B777-3EB1DFB455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EC33B104-A36E-4C1B-9936-303E09B8300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BA14E970-EED2-41A1-8E7E-3951F4BBF23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5D7235D0-F66A-4474-BEF6-B1B9D17CDE3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93A7E0B6-021A-41DA-8E8E-BBD4254C567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1E794D69-F59C-4079-A087-D2CED4765C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C519E6DD-A45F-499B-94B8-119182E608D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342A6AF3-8336-4C47-9078-0C26352A82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4879AF08-F38A-47DC-9B47-613C310BCB5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4565E4A9-A216-48A7-944E-74D17E0F54E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D245497-A3EF-42EF-AF4C-A5AA1D2CFD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9E0DBAD1-3DDD-4CD5-9B6A-51AE32C2A9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2A63D20D-609E-41CD-9C90-1629C3FA210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9977598F-40BF-4E24-8305-3B6C4C4EE10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EF0BDB59-7DEF-4217-93E1-1F2C254293E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303DAA4-51CD-4AD0-986C-114F8DFBE1D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B1EFFFAD-977D-4688-B741-2740C063A6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EB24B11-5FD1-4C57-A31E-881F128380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9FA5F6DB-7CF2-42D9-BB6B-306B3C817FD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825DDBB-FC41-427C-83A2-41839EBE7E6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66AF2822-7A89-41E5-BCB7-946BCB3158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DA688CCE-4F33-4CBD-A1C6-605DBB5DFD5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A2F78C08-7CF1-4C8E-BCC9-27FBAB10C2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955DDDB6-3542-41EA-9123-E746B6FBF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6EB468AF-D742-457A-BB40-4C37464F962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C211754-54D9-46E8-98BD-4799AFA431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BE48BF7-5DDA-4D42-840A-0B734DFB89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2C8E7002-B2FD-444F-A2EC-8A1B99835FF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555226A-B75E-467D-9960-E86EF188D4C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DD5BA5DC-869D-4E2B-A5AF-2E77EC986D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408AE03F-7CF1-44D9-BB82-DB5401EA39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1ED915C3-EA18-4AB7-A611-40A6A91E5B6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85CCA34-869D-439C-85A7-2C026FAAB6C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4FFDFE5A-C7CF-468B-8DCE-66C97067B0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B8FD80DD-07A7-472D-BC8A-406180F92D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3BA8E65E-FCE2-458F-884B-A1D66B31C3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19C0CEEC-8DD4-403F-BC62-DBCEC07E198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22273DD2-9009-4451-BDE3-4D92DE1C61B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67CFDF33-3881-45A3-8957-2E1713DD5B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AA578FC2-52E9-4535-BBD3-A9CD2A75E6F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F2B6A18-283D-4FA6-8094-336446334B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1423BEFF-98BA-40C5-9AD5-CC4FE5B4861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5F3DA895-9092-4335-9AAF-EEDCA2D5589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F4B40A73-A504-4EC4-967F-815D2423A5A1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5EF92525-7534-497F-B039-F509272D657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F5A88593-0CD9-471B-877F-A1E03549C9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ADB34946-9B1C-4360-857A-9408B8CFB5C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F0968384-3B34-4903-ACE9-3A8C421604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8628F1D9-8C71-4AC1-B53A-3B34AE07C2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57C32522-381A-4664-B6C9-687F0D5004C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3D6C26EB-6563-4FB5-BFC3-D1BDABD5DC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F62F8878-D87C-4F3D-913C-3BA92261CF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5CCFF9B1-5648-42DF-ADE3-9BB8ED67B4B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20E9A2A-9226-47F4-8977-28CE53E6509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1514540D-778F-4AD7-B78C-6984CC4639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5E30CAFD-5BD6-4276-A56D-2FC788FCCBA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533C208-82ED-4524-BEF4-908F16D952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FE2047FB-9F44-4464-B5D0-2BD498D6E40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516A736E-C097-4433-8FAC-77AC3EACDB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59E8A2AD-A691-4D79-B0C9-C870D2CEA69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2203162B-15D1-4AFC-99D9-B749A58D14B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6855B390-4D4E-45A5-A8C5-68774265A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7CFB278E-5D57-421A-B181-D67B2756B4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641E4C2B-260D-4EDF-8394-ABF2E5FB7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57A7721B-69D6-49ED-ACFC-DF2D9BCB857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E0C5DF8A-90B4-4480-B817-4EBCCCB526E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61B007D-03DD-40EB-9E84-93CBEF7058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79B6114-4049-4460-960D-DEFC3C6607A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47B76417-3490-4DDE-A024-9AD13BA9B8A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2E8C4241-6B5C-47BF-BDEA-A69075E1240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E3CD4E29-6F87-4DD1-9F01-9E57AC5770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8D80D677-3491-46CE-A9E4-E03C17C3B219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501EBD32-331E-4E25-A6F7-DEF2D8278C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A9C88840-C75D-400B-B12E-BEC6507AF60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38F8C6B8-8E57-4A51-86FD-6D5D1A2BC88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66601D2B-7E50-4580-BC17-1E11BC1ED4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01C72B7-A6C2-4305-B464-1B640D931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1486C29A-EF72-4A9A-8045-AF320C02AB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84CA99AB-BAE2-49DB-A700-F735CCCBDA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783A688-951D-47C9-985A-7467312B8C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86A5DEA1-D778-41F7-A547-0384D1AB37E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2665F419-BD41-48E3-8891-C00FC9BA69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A92CE602-1EA9-4CBD-89E5-4F688794B4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2ACBE36D-70D2-42E5-85CF-FF8438660F5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6F07B35D-DD33-486D-A0F2-28C3C263BE8D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8823A492-B780-4CCD-8230-3129FD4B09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E7714B9-FFC5-4FA1-B5ED-7116B2897C7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AD9AE45D-62E9-449B-AB0C-80864719E3F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D538787-E776-4A99-9C06-947E55C4939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145ACFDA-4CA6-4988-B0AB-31649FAB7AC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4027AFF9-3EA6-4C03-BD43-0E81092C68C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50628D15-0271-4540-BB5D-EAB99FA100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E5AD6935-5A66-4B6F-AA0A-100246B9137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7602D701-D85A-4B54-908F-DFCA0F9B12C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CDD0C7B1-16A1-48D9-81AD-2D9305068E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38975EA-3474-4D29-85EE-3C5EC91349E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3FF70B83-F966-47BF-9E3A-135F5E51965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5324CC15-40A3-4098-A6F3-A5118C0393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E3053820-BC3A-4249-AFD9-9945885EEC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BB36958E-9924-4106-B888-A248A19554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7925387-C116-4572-AF8E-BB1622CC6D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3ABF6F7-A6E0-428E-A22B-ED0675EF9C7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1562479-5BDC-4120-92BD-704BF628F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3F02FE5-B2D9-40B1-BF7F-6D191FC02A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3F6D1EF2-AE7A-45D5-A129-0E6D3DAE68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76E171F9-832B-44D7-9040-0193CEACE12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37B9542-B79E-47FA-A97D-6B735D0D57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C95F771-2E6C-4312-8234-F62FDA4CD5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4F5D68A1-369C-4EC8-B55B-64AD3ADC42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9ADC4671-E37E-42E6-B24E-D4900A1741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4E0D8AB7-DCCB-41B7-B6AC-CA41E8BEE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796B2910-F97F-43BC-BB12-2E3C6EDE9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D8D5CB36-2837-40C6-A543-56D4275C8AF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56D452E9-CAFE-44E3-94EA-97801AA324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EF11FF2-2D94-4AC8-BAB1-8AD3A47A65E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77F6F412-FDCB-492A-8B1D-847C58385FD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3A95A97-8302-49C8-ABD4-352B9D274B6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50498EFF-7D90-42A0-89AD-90F878477E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AB02D82E-A5E3-4734-90DA-967D6E7A3FC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D773B684-D1F8-4708-B536-12C2C17E51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CFDD4E67-5683-4710-BC21-D6C15E09B86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9FC755B-53A1-49C1-968D-B806AAA9A20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A8A63846-8934-44F8-BD70-BA7E6FAED3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55AFCC9-A4AD-4DDA-BB94-687076FB292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672A539-5FB6-487B-BBF9-3972B9BD05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C3DDC2C1-320F-4B49-B9A6-8B06B7583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3B8BF45A-BBD2-4E42-BDF9-D7BEF7E5599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C30135D-C915-45B1-A527-AC84B0B61DA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EB7E8F61-3B4F-474C-B01D-83F2EFDA373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6FD9CA69-0288-4CD9-A28F-3C3C0DDFEE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5E3C0AA8-E484-42B8-96A5-61CBE92E7D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EEEE48FF-9A85-4021-879B-B0D72D5B81E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D2C55051-6C18-42F8-ABDF-3160CD48D3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5F3CC594-B662-4ED1-8C4A-B4F6B4CC07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6A3D372-22FE-4645-99E2-DAB2F286A4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F3E4CEE6-C05D-4911-9271-FD95616A05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F71E8142-0208-4FCF-AFD2-ED7ACEDF02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A6AFD8B-E3EE-4C25-8D76-4FFE9457A1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E198B3A-3405-4779-B39A-893A256718B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97CEF795-97DA-414C-ABAB-330EDA6D6B2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4B9C6905-00B9-420F-BAC5-93BD735A5F3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9F44FCDD-C5B1-4D8B-A5A0-C2B60CB0EF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8C5F85F-DBE0-4A1D-9825-7F2B93777C6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7D72BDFA-DB99-4098-AC8E-9BA33893D9D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FF403BF-6F09-4501-A9F5-7FE137F2C05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B0E36654-1933-48F7-9AAC-9DB5986E5C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B9989EBF-2B25-4F7F-A394-5F1F6ECD8D9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228C3D99-DD5C-42DA-830B-39421C3D6D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4B02AA2-8257-4327-BFD4-B50DFEEA878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A9B9C86E-7A6B-427D-BAA4-E8FA241753B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40BB1BE1-04B5-44D6-811E-9F73A19AC2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FDDD6B2-04B4-4D21-9FC1-5D3F4A8DA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690D2956-1C40-4A11-8DB1-7D890852F0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4C07E649-DA6D-4975-9564-B0D54BB5028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27A27DCE-7476-4017-BB5C-A0BD5F63EAD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1593F23-4AD9-4FE8-9097-D0FF669C5001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BD4B05-49DD-4309-8D52-137323D02F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D555002F-3AD7-4402-B0DF-46CB04E120C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9581758-774B-481E-B7CB-D556262DFB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B34BDD4C-8676-4A5B-A93E-7C9D689124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3FC1F775-9914-48F4-95F0-58C09E1BE8F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AA495091-3A5A-465B-A175-9984F8DFC6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48FA27C-9292-46A9-8F57-7F18F65449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5084E2CA-689D-4460-8912-39F79946F5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CDBB7AD6-3E4A-448F-8F4D-E05C4E0B421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A0577EB8-78EC-416E-A6CB-7DF0DA2A0A7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10645F0F-57B5-4295-B639-ECB77C6CBD6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233B8825-AC74-4892-BAA9-E2224CFC1DA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F305843-D77E-4855-BBAD-9364B7C5E74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268FC89-4068-4077-BEC6-EA0F58ABDF6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E40329CC-0C6A-49CA-955E-CC2EFED52B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670E22A0-F467-41D6-B8BA-2A6D9C0D9D9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55ADE2D-1A01-4CA5-AACD-09D35C08CC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8D7AB04-570B-4BDD-ABB7-6FEA6C6E4C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07324E3-1241-4E0B-9E9B-F497CF120B9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F62C83A0-B498-4F06-B265-707008C37FD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DB864DA7-B514-400B-A6E6-80DAE880058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B62AF23-132F-41B4-8396-EDA65E1C000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</xdr:row>
      <xdr:rowOff>0</xdr:rowOff>
    </xdr:from>
    <xdr:to>
      <xdr:col>1</xdr:col>
      <xdr:colOff>1390650</xdr:colOff>
      <xdr:row>3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1B0133A-BAE1-47E3-8AFC-529BA86891F0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88C1F871-F539-44E5-ABA6-B5E7CD920E87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</xdr:row>
      <xdr:rowOff>0</xdr:rowOff>
    </xdr:from>
    <xdr:to>
      <xdr:col>1</xdr:col>
      <xdr:colOff>1390650</xdr:colOff>
      <xdr:row>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ADEC2B0-6384-43CE-8CD3-FDB6D33A1EB9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D124CDFB-011D-4438-91E7-39DEA72C4DA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32B89FD-C576-47CC-8984-D382B3A3A9F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C3C4F68-4B4F-4ABB-B2DD-B3DAD48C1A1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8BF4C705-5B21-41A2-A7BD-4F72FBC269B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B2E5EB5-5D4F-4330-BF04-CC4BC258CA1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D911FACB-652A-4623-8F0C-1ACB7C4550F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68635A6E-EEDB-41B6-B537-C4D148F884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CAB22F5-176C-4959-925F-C7F8A1760F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B932327F-6443-4086-8619-307F0F66CDD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66CBE9EB-D0E2-4C1A-BF89-3F4FBC361FB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40417407-73B9-4480-931B-1027B0997F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04456A2-5789-46DD-996F-1F75548607F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8D0FD664-BDE3-4AF7-9B44-D3BEB468FD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DAEA0F33-EE0F-4804-8327-89A78DB9555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55CF398-2A35-4554-BA3E-6CC42ABEF9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</xdr:row>
      <xdr:rowOff>0</xdr:rowOff>
    </xdr:from>
    <xdr:to>
      <xdr:col>1</xdr:col>
      <xdr:colOff>1386840</xdr:colOff>
      <xdr:row>25</xdr:row>
      <xdr:rowOff>97155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69D9AE7B-472F-48E2-8B21-C4A57F055FE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80A82BAD-7AE7-48C4-907F-A801F1E49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1B8002FD-9241-4FF3-A0B8-BB8036FA5C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7309FFA0-E31E-4F28-8830-1BD01D4318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7F59D0C9-3811-4BA8-B2E7-AA516852B2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F9243B2E-4B54-4193-BB45-86B7DEE19B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96313F98-0545-4792-B438-12849ABE33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435E9D0-A6EA-4814-9ADA-7643264A19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3C37429E-D067-4F5F-8E96-3A0D090F7E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69CA00C1-8C3A-46B6-8852-E371053465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C3EEC865-1B6C-4F03-B048-69641D13A9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EA550714-4635-4AD7-858D-5E17C322D6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F05EE0CA-BD5C-41C2-9A6D-86DA324758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1A95BD20-19B0-4A94-BB95-11E007ECBFD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C6FF7F30-8AA8-4810-BAD0-8D93FAE69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95250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422D7617-2D4E-4B8E-961A-1762DF3E9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95250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B3286F37-F6DF-43BF-89CF-A442FAA64D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2F51EAFE-23F2-42B4-A030-67C9796E88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17877756-42D9-4929-B7FD-512B83B57B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D56D24CD-C247-4461-865D-D141E0B65D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CDE19DEA-D462-429C-BAB3-F15F5B6007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9F87F4EA-A268-413F-BBB5-FF27C082E6F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A0299C53-C1DF-41D3-B362-B88C7F7D40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4E48B7B8-4462-4566-A230-B993FE0C1D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692E1AE3-5C7E-4CFC-8114-B99D13560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39D769CD-EDC9-4D8B-A7E7-F7EB6929BC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81FAA61B-ECC4-470F-9C3B-30E98FB241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13CDF408-F558-4F25-AFD5-9568E8485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767AE53D-A489-4B60-9A46-C07DF10FF7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688701C1-66E1-421F-9E74-1EFEFEC4D4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40C9CF78-6420-423E-9DBB-522DD14FFC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966B157-B888-4768-AEDC-B61D8854F8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BD51C825-062A-4AF8-825D-B32D95D8DE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B979A057-24FA-4F66-8E44-707A2A7696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FF487A4F-59BB-46DD-A7A4-5C49860B6A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8B58563A-184E-49E9-A2E6-05A9BD68A9D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A7876442-95C2-46C0-9333-264E1868E9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B6C39CFE-41E4-433A-BF12-678AF7161C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A8DAB04A-1E61-4DC0-9317-9B8F854FCE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5754DD4B-DF7E-4709-BAC0-319E4E2E53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DBFDB821-CF75-4FC8-B77F-3916114C0CC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9D6C3807-51AA-4DD5-8661-78B216047A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D1758CAC-F449-46AF-ACF0-E0E3955183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76E5EAB7-EC16-468A-80A2-ACEA8B8221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B473D2F0-08F1-41B5-A674-B8AC8B910A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F342A6E9-BFA2-41E6-8426-0BCC9698D4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FC8419B4-92E8-4A54-96FE-4C4DE67CF6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8DD8B3B4-A73B-42D7-946A-9901FFD69F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30E2AD56-3384-41A6-94C8-B30D5CB81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7856C462-9CF8-4C4A-8C73-37ABE9E8A2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D927FDD-3306-4CCC-B1A4-9EB1917FBC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80E95E61-F95F-4427-8F8C-EB5D3518E6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1321B186-B828-4C26-93A7-FD09AC07FC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C74C4F13-9E05-4826-9748-BC4728F758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A914DB9B-C0F3-4042-8AE6-836A839CD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1FF1CD6-2340-460B-BADC-B251348A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BD09E104-1BF6-4DE6-8F5E-63017C20E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B89339E9-FB0A-4498-9233-C925463C39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671ADD24-6FEC-4FA9-B5AF-0FB92E202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7D85A7A9-D214-4711-9F1A-0EC03FC2FC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81740A8D-02D3-4D1B-8D0A-77500D62E2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D9329804-B42B-4856-A155-595A1C66BC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EDE256A8-9450-49BB-8CE0-79FF8BA439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5DDAA74A-CEFA-4247-8E3F-BCC471AB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3EBD41E1-9E6D-47F8-8E08-86F6D20995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6896BAC5-692A-4503-95E0-7901FFE232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67224D79-A3EA-4B35-B503-6EE5E6CE7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D31C96DF-4637-41F5-A2BF-197798495F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C9969F50-A013-4DB8-A245-D5E0A7D2D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9046B155-7E52-4D82-B445-A822DEB1E7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192682D8-90DC-4D17-B5B3-14367153F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5F65AF02-C96B-4E40-8DD3-50E496CFF0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C9785CF7-8C6D-479C-9CE5-39885BD16E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D6439902-AA62-4589-8878-D65D46A7A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7BAB79BB-92D8-4E06-9D3F-A76BE78B02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F8ABE571-37C8-4175-81CE-27B25F6385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5D1B0CA4-53A3-4B76-9EF5-3F13109279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C733ADA8-7E4D-4801-932B-A1A3F106C1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D2FC2151-3853-4610-9F7A-DA04E61BC8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FEA4FBEE-FFAA-4ED8-A9BF-C458F3CDC1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2CA2F5DB-B45F-41A5-A00B-142193CC2F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2085C866-A04B-47AC-B093-EF7F57ADF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A48D1CE9-6280-45A1-933B-38D59CB0E4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E6441345-60E2-4B27-8EBA-1E66581C60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785AC37-229E-4294-BED9-3670CF0AE0F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7D09AEFA-8A39-43C7-9AEF-D47BC41E1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B37CF6F6-1613-4504-87C6-3CE4346397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D234C8D8-89B1-4B74-AD74-57A3030B03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8E2D057A-957F-4A4D-A56D-B13AACD8A2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17446679-1F21-4108-8B3B-26B934577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4189663-C598-4397-AD6D-E3139CF1BA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66F69DB6-704C-4CDD-BAA8-CC9CF82DC3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4B99264B-DF03-47CB-BD01-6E942F3B19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83774D0D-C2E2-4C7C-8E23-308BC2EE28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C017143C-DFAB-4E22-B4C0-A1897E534D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B4FB112A-9980-4C40-B119-923FEACF56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55B02E4C-C25E-4B25-88DC-18114D6FB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3E2609D8-5921-4782-84F1-605934166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4F649A46-B4AC-4C99-BF8B-DDD7A9864F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DD4C1D08-A701-445C-A97E-4E99DBC484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E6A2529E-89E1-4145-BA7C-A09E8B5CCF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6EDA5C74-AD8E-4947-AB7C-EB78FF518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F5CC280-0E26-4FDA-A0A3-77EC49864D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7FA8C8F6-FB1E-40EB-8CF3-5FEC39D8ED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3A42138B-FE34-4BE7-B537-5907C48043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A28C12D-AE56-4C52-A528-D4B884C264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D1262058-841E-4B82-9405-15E4E5B0C8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B594C847-D378-4880-BE22-487F78BE38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759026C7-5D02-40B0-BD73-4365A178D6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EEB53B99-5912-4BBA-951C-5532553A30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5CB026E9-06DD-46A6-A7B8-446B049BCA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6B9BE79C-85C9-478D-A9E0-070F03B29E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A1FD5D9-7A62-4DC4-84B3-2C4D5A86F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C7EDC38A-D048-436B-B3DD-8419CEB7C6F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2B4FDC8E-B2EA-4815-91CF-5ABE4DB1A9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095F21D-7C3D-41EF-B034-E06A924D2F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93332279-E47B-42F3-B432-AB5593B93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E936B55E-B627-4A21-9C0D-0AC48A4FAF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671449F5-3DAB-499F-987B-1E33902125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B86FFCF6-EFAB-455B-B2EF-E141F784A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BF77353B-1F56-4E86-8CE9-9AD366128F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CFB6CB1E-5786-4A25-A89C-113C1DA3E0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F1CCE053-9281-4D9C-9B5B-8223DBC85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55D1CDE9-1670-42F6-9909-BE216186BDC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A699C530-764E-4558-8D20-D5B9884F8E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D9304C58-39EF-4A4A-9D23-BED045C4CB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770A2676-3D4F-40DD-8E68-50FB0D11B77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B106C04D-29AB-4EA0-8AAB-B55FC26DDB9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B6DC7F91-DE3F-49DC-930C-0E03561CD2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9370298-42C6-430C-94C6-0305B7751F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9B7BCF7C-24F3-4EA0-8BF7-306FC94EC7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E7B8A157-847F-44B3-83C0-8106A31486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15736845-AFFC-4089-8532-D83D176A6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B9CD3A05-878D-46CD-9C17-40322B2715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995E27E-713B-4EA2-A04B-F717D1DD88D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31F6687-44B0-42AA-AFD8-BBCF12AF34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1BBED96A-EAAC-49D0-8116-9BFFCCE2A0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31A54115-D3A9-4C78-A51F-C719134E38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49ACDF63-A15F-40F6-B08A-AE77DBD54A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3BA10D3F-4F94-4818-91CE-5F18D56EC3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A37AA71F-D4F8-4F2B-8F58-57FD72CA18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DA5196B-F46C-4BAE-9388-CB1336C37F4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291D4713-F605-46D6-BEB1-B6C92B83AF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6B5D9488-67FD-4A4F-91D2-6C975E466A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6DA13B63-3F04-41E5-9186-DE86558BA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36493F5B-8138-42F9-A4CC-788C6E3440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3EDBE0D1-C29B-4FEB-9D24-C07903509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3259772-725A-46FC-AAC5-75EA80B8D9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568343BD-D2B1-4821-8D29-408731E678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980E5BB3-A2CC-4B26-9599-A0C802700A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30BC63A6-A8C8-4B02-9462-C08CE52A43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2E84823-3F8D-4EED-896A-6D301B4206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A31700EC-4F65-41A3-8E89-F389F01847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C919F252-79B5-4ABD-92A4-1F7AA181D0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451DE0B-B8EF-4FD9-95F6-15F909CA95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5AC94B09-6E21-4207-BABA-D0F515C5A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11B884F-5174-49C8-823E-B0C58A370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F03F2FFF-83BD-41C0-92D0-9517E0A0A9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12C1870-92FF-4638-8DC2-50DEFAC807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47B43113-02A3-476E-854B-7A5754C750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CDB4E852-21BD-4F46-AA15-2991C837A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E499EB56-BB20-4DB1-B138-A6BBA5A957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19B52F68-B406-4212-BB1A-446303EB6B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FC89998E-D263-4660-8B62-549E7903B8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82B18E0D-0720-47E8-814F-16E93590E7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BCE889A-9FEC-4919-B6AC-0D8347807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E0D40B25-5396-4160-BE00-E0BCF350CB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8DD5F49-E4CB-4618-B04A-6A9A508D09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59D103C-02F6-4E49-A63E-52FFAC266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FF5473-5EA1-4D86-83B5-031B20E84B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BD27F691-EBA4-4DF5-81D4-000E9C2CDF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C13E9706-4CE6-4B4E-BE7D-5915B9495C6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23C16AD4-8965-43A0-979B-9A7F2B058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9B214F1-73A2-49CD-8368-95B80EAED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BD9DD1AE-B651-4264-BE81-FFC76D7CB4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ED73C4FA-099E-4F3F-85FD-FBDFFC6365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4E46C08-5F9A-4D9F-9727-EACC8035D8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7F35DC6E-E941-4561-A2F2-1DA66DBB8E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76BDDCB-E45A-4BDF-B2AA-269D4CC4D8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B0C66FA2-CD5F-4907-AAE1-72E4AA71A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CDF24F3A-9B3D-4C10-918F-0D8824C20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D3BB3CB9-C1BB-41E3-BAF1-F817A6662D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63A79D75-1CC5-4F2B-A3F3-61456BB4C5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4F4353EC-AFD4-4436-A9E7-7EA00F9E06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730B43FF-6569-4F17-B60B-9F91BEBE7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19603F19-648B-450E-B451-4BB5B14BC5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2CFB018D-44CE-47A3-8171-1A312368C6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C1163A43-E684-47B0-B656-B23248842F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FFFEF54-6338-4194-B5D9-5E51541EC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18B7D7C7-0A58-405F-9A7E-93110770F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3642CBA0-AE92-4A49-9AE3-AC6E774423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F9C3E5FC-51D8-4B30-A600-233E84D4AC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A55AB702-2FFF-49AB-8A68-E85797C4E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CD2D016B-075F-4548-9642-758CF76E1D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E84DC323-0DAB-4D43-A6AE-AC97FA931E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8C94C4B3-62C6-43D5-AD9A-84A9D07789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DEEED5FD-C258-4457-B186-7516DAA8B9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15E40AE4-4653-47A2-8C66-A5D047BFBE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9D2C8117-FADD-46CF-A73E-E0A156A43E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5BB9016D-9213-48C8-B26F-1339D764DDC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D346AD9B-F379-4F38-9520-644991BD1E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2E344AD-EA13-4190-BACD-64FAC158CC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DA8B9012-2439-4C19-95AE-1BBA4DDDE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85CF7C91-9E07-4193-B521-E60F95964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9E5F2EF8-6571-45D0-84A1-8617939984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A59D91CE-886C-4A3D-969D-2E6FBCD2DA6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CD712EA0-51D1-402B-AE7F-519CF602A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EA54F14-A0E2-4B5E-81D4-B47219105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48CF6F8F-8772-4AD0-8ACF-68B15295EA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7A8BF7E6-F2A8-43AB-BFE2-F199056068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F6B12665-FC7B-468E-B691-3812A59D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E436BA64-422C-4156-9773-3408F41233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56D233E8-93B5-427F-9B2F-02CDCB3E25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6883946B-EF50-426B-99D4-CCA0695AEB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35319D11-16CA-4C09-BA68-BAF324AA4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8E0580B-762E-42D5-B0DE-42A79BDAE0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57105596-7304-4C3D-AF5E-1D637F7D51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D8CE416C-9443-4DA8-9DE7-5008A2B6B9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48F092BF-F9EC-4AC9-A6A2-4FE5524F80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C9784E2-DB55-47A4-BF29-545CE99748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5039F03B-991F-492A-B429-C0CE24EE67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F8D5BED1-F430-4087-B342-505785ECE3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D987D0C4-BD83-4C78-8BEA-761A0A939C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F379A133-CC27-4037-A350-FC79C1378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19528C55-75D0-4F50-B58E-6DE7143C90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23D02D5-9694-4A8A-84A3-B15487A33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A4E82600-FD1B-4E0A-9222-65EF616589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4B04562A-90C9-420B-AFF1-5E44C4E681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7BADE86E-1EA8-45C2-8BDE-C17EC3E2F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6D67D57-E9FA-4CBF-BE2A-7B684D9258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160E2E15-8349-4E70-8A90-4D99C9178D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8B7E4DC0-C516-40A6-A965-2E22BEE8D9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6C44AB80-C3BE-4102-9CC8-500EBDEDF4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33E761A8-FCAD-44E9-96A5-8F77386186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D9F07CF6-9947-44FD-A619-366C53DE04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DEEEAB20-4D4E-4E82-BC36-172FB4DAC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5824A627-F48F-46A2-96C2-CE4941AA6E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00730A-58AF-41F5-8390-17281625F2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F19495A2-30DF-4607-A8A7-DF094ADEA9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C860B58D-12C5-4B89-88FA-8BFA6FB003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CD636CC8-C802-429C-96CF-43897EB4F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FF42D7F-C2F9-4EE6-B624-CA0ECB0E99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3EF8823C-0168-42AC-A2B5-81AFD5AE6F9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D0D33FCE-6AFE-4C6B-8E89-469011CCBD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5E930B15-E455-4003-A5C5-051E1424E0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3A29E57F-0E58-4085-9149-A974621E8BC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B7D6EFB-675B-470C-A182-622FF54E37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4F6BFF1B-6ECF-4174-8EDE-CD406DC89F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27506A16-07E3-4313-8E42-60672A9F93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8F78F9B4-C273-4913-86BC-FD7679888D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CADB2CF3-B08C-40AE-B1E8-94693A408B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75F59B81-B307-4570-B80F-738E1266B5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3FDDC629-20C5-4398-91B0-06BD12675C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4C21040B-2A79-4A34-8D02-38E6A31C37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A8B9392D-5DCD-49F8-90E1-16E8D9F205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37FEC567-7CCB-4527-9502-9D7A9C5DC5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C7A032D4-92C0-489E-9CB3-98D78B50DF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4B104035-2BE1-4457-8549-2795F94B5F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ACBB17A9-0CB2-476D-B7AA-C8D1EE5FE0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72173D62-3C7C-4D53-9C02-2EA53941BF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5F181250-085E-4537-A8AF-817330AF51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5ED8E113-6C6B-4342-994A-D0F1E2CF1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ECFBC1E8-C7A1-404B-94F4-DC8DF1C539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79AA77E-BE2A-4E94-828D-C47D6305AC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689C1D2-CCB9-4161-B597-37C46A95AA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95BE0426-0E8C-47F9-AFA9-E3B932AC5F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A3525A49-2230-4D9E-A483-5E87E88CEA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F58FF4E9-F47F-4A60-88AD-75ABB03BD9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234CA11-2A35-4CB7-9A9E-B61E23304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F7C8508B-9C27-42C4-9847-2DCD7AFC96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9EF99E17-92A0-43C5-B25A-EEC7C51C21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A310842A-6260-4AB8-B9D5-B61FCC3D14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24</xdr:row>
      <xdr:rowOff>133350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910E426E-069B-4557-BCF4-C2C9110D13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E30B8D07-9FB8-48A8-BB55-DC642D3B6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6BAF6D60-91F6-4C07-AF49-4ADD649340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CAD90B2-BBA4-4F8A-AE57-6DC0CEB2F3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43A29C15-EDC9-486F-8665-86DB702DB7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BDAB453E-A9D7-4FBA-ACC4-3A4A47D85B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5D60933A-56E5-4B92-ABAB-2A22CF97F4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E4FC2CC5-5AFD-4BDA-A24B-934A9F285D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48424C6E-7D4E-4272-934E-4E65459DC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3F4544BB-823D-4E56-A049-45E3FB8BA05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F213FCD7-AC3E-49DA-98AE-602C69854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591B3E11-334E-4409-9A01-99E2DD284F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D777819A-CE23-487A-A298-E5BC4AE593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2DCF6F00-A34F-4F30-8F48-5B2D488770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48D42E9B-EDFA-410D-9591-8C32293BA6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95250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45923B75-37C2-44E6-946C-AF6C3A5CAA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95250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5842EA9E-391C-4E48-AD01-F312C11B75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11502564-44D6-4701-BA25-A1BE20C43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E956D46-7DEC-46F3-9452-EF287070F5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CC287832-79C6-4446-A57C-54D813FA9F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1FFC3E59-3BCF-47DA-A41B-0C371B65B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C165CC72-E081-4C8B-9EA3-9FC8BC74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1D6D07C9-E2D6-4779-9D28-353D4BFD6B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20D35F09-5083-4F1D-B92E-279989D39E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6D727DEE-8BBC-4549-BC28-BED7CA381E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CD3F5A7-96F6-49CE-A87D-82021B36A1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EF3A4061-7BEB-4C51-84F0-727AD4F5F9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66D9A87C-C946-44B9-9069-0646C9A94E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1AD2CD54-C266-4142-B717-C062D07B9F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3DB0B05D-A229-4735-9ACB-F9AE2E7E3A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E7CD370C-AC51-4AFD-A188-EEDD3ACF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3EC3D3D-6B0B-4A3D-80AE-E51856206C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507B0AD6-DB03-410A-88FA-303E6473E1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D2B2FB2D-CFED-4EA4-ABC3-2FA1C78126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325F5A3B-B0E0-4ECD-9EFC-3355FE7C0F9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A02A9671-45AB-428F-9663-223F1CD0F2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74C4E7E8-818F-4814-8149-CB19DE324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E0A60EF0-E804-4A18-94C0-874ECFB128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E359CEF3-1AE4-4358-BC66-D929468136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D311620E-C478-410A-A3CA-DE825DB21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D132EA44-F23E-4E25-A3C1-8893BD4714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AF30C081-E5C7-4F31-A7F7-A2BC63145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296C81E0-0287-444F-833B-1163EFCD20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8287270D-6197-47A8-ABA6-A3D8CBD4EC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321B2642-8497-4E2B-A32C-5D5BD07B0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A96EA237-0BDE-4CA7-8F5B-BF001CE785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E5A30BF-9155-40DA-BD2B-BDF104B5F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5F0B3036-D647-4C05-A757-50A08CCBA5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826F304F-6615-4895-8320-178B24B05F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1EEA22D7-01FD-403F-A0AA-A75F0D1991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FC0EE95A-5042-4614-8099-EE3DFBF24C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912D7211-A779-4088-BAA4-3F29B74E2A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89E4FE9D-170C-4C17-B466-AD968E18AE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66F52EC3-4EF8-4476-89EA-A0E0414FE6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C61B3FB8-37B7-4843-BD76-3A2CEABD1D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6E493B21-8AF1-4663-A655-3EC2457C37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C13BBB6F-B3A6-4B47-A849-025FBBCC6A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EB0DB976-9AED-4215-8197-D69E5D3C28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5293FCA-916E-41F6-8498-AFBF403D3B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CA2B6DDC-E7DC-4BD9-AAAC-7354D5C58C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F0085989-1648-4482-B5D7-C45299B392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3474A229-B96E-44BF-842E-41248C572B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8D725E68-BDA1-4D8A-BAC3-346C3A6872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F5C82A13-C9F2-46E2-8DFD-7749685792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0CE0283D-EE2B-4EED-BE8F-091384CC9F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C5C18F72-49A2-4A60-809B-DB753D400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80D6B92F-B132-413C-AF41-B9DD933E63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21FACA3A-9B22-42A5-868B-B8CEB4FAA6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57150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5371C65A-96C8-4C52-B409-D6C292752C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2A734AFD-FF28-4633-9D05-D0C821C666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2C09466-CDB1-44DB-B30F-FDA4D6BD91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2843A9DD-5C6D-4028-A2CB-9D447AFFDE6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E93F3F99-3EDE-4F8B-829D-26B3F33F5A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E0BC7266-2F15-44A6-AA80-F83AC2A3AA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0B0B60CD-8A2F-4083-94BA-74F33E69A1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F73DC201-DA7B-44CA-90D4-F74F49376E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76200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AF89548-1A33-4BC3-AE0D-20E19B9AB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B2442EAE-C157-423A-9062-3CD489FF20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59055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8DCA06B9-4CE0-4C20-8769-B9B6E7CE43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26739AD6-9B05-4239-8B60-0AFF08291F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38100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17DCDB18-C018-490D-A992-918C5C6C30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9300D217-DAF7-40DA-B328-381115B0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20955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250E038-CA29-4501-9CF6-82C1AFC45B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5156B29-130B-4D35-BA8F-D45CD4EFC5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8ACECD19-98A5-46DF-9545-D6774FDE4F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1409700</xdr:colOff>
      <xdr:row>25</xdr:row>
      <xdr:rowOff>19050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3E1FC35-B402-4C99-9622-2D0022A75F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D35D5E66-3E0E-4F02-B9B3-380DA979E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C03B5AAD-031C-42B0-B6A2-E9FACFEBE3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FF66167F-C6EB-41E4-AF9C-86D4D7F211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333D7D1E-4AE9-4923-A810-0731645A1A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DD2CC68F-2E99-4A43-8F95-6992FA50DC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5C14125D-FEE6-4DD1-B162-6F58DE39CE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93FBAFD-E297-4C22-B1D6-CA594D353D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1314450</xdr:colOff>
      <xdr:row>24</xdr:row>
      <xdr:rowOff>133350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23998AF5-3A5A-4BC8-976E-1EC566224D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1E5E9064-400D-4705-ABCE-A0E140170A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447C24DA-AD89-4D52-A956-7B7D0B77607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D72294B4-754A-47AC-A696-5A3B72F4B7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596F9EDE-FAEB-48AE-AA6F-5067AE60238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68965D63-2458-4CF3-86FA-7E7D9B7CD04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883BD7AD-795C-4239-A30E-84F71941278E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6CBC95B8-4E54-4AC3-8533-D0200B6C088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29E8D33A-C905-40E6-932D-9423E3C2414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1ECE35B6-3788-422E-91BE-9C091059924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F28F54D-2B04-4B70-90A2-C09EE2F6800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18EB0999-CDC4-401E-95F0-AE3F604C61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5332E6C8-A074-4439-91DF-03AAE461DB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3AAD3ED4-19FD-464D-94D3-591B2EBBC2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B1CD1107-129A-46C2-A5D7-A9F631A0F8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5583E494-3898-43E3-AD66-683B3447313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7259E3B9-45C0-432A-A155-4515EE731B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69F9075F-D0E9-4EA6-8409-5B1B8A6AACC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FEFA04C6-740F-4775-B6E6-28F6A62A568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126FF7A7-4330-4C1B-BD81-D095D121116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F5987EA-1CBB-4031-A295-F6D07FEBBE1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4024A938-83BD-4E74-A9F1-2F2EF6243E5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8C72F8FD-0B5C-4136-ABDC-FAE0151DC1D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AF9C612C-E161-48A9-B543-2AB63020DF8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291D7321-4D1F-4E88-8083-46B3865667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98DD78C6-1402-49B9-B58D-C5FBCCA18DB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78C4D422-D15F-4D2A-B580-568054ECF02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B2BC787E-965B-4B1D-931F-28D91362A53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A89FAB83-25FD-46F4-B87F-4CE3F0B5FFD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960FA0D1-FCAB-4B65-ADB0-6D4979950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2794F55D-1692-4763-9262-479AFBAC02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9602A488-85A5-44E5-B978-E758ED2C470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D8A992C8-5013-482D-A493-508A99BF3F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BEC5BB56-2A68-4097-9891-5BC7A86FE85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C5F6E88B-AD58-42FA-B559-827A76BC782B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E7A752B-09B1-4DC6-909D-08B4F61E432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C9692DA8-339D-453B-B19A-A6F0F2D85A1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3ED803A3-941E-4DBA-A638-88DFC11575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9D0A6EAB-8B72-4387-91F8-E744322CBE2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9502E833-F5C9-45C9-AFC4-979E4EFA5E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71E81835-1826-4D76-8DEE-C311050265B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E7AE1588-3331-479B-81C3-C09D314C9B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744F6C00-7FA3-4F1F-B7EB-02043B0748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6293823-5AD7-487B-9772-D15524E808D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5767677-D433-4B54-89BD-D5E0EF518C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BA9C742-7CFC-48A5-AE80-FC3B8720E2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9033EB6-7952-4A10-9FD5-497554D952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97C9FC7F-4D4D-436A-A410-73D94011FB7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1711AF4-7709-47F3-8096-D170A89C491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7A277A42-069C-4019-8328-FF417E4766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8190B7F2-FCE4-41AF-B196-D1CD563331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C18E406C-2662-467A-A6AB-9B3E99EB0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77E70B46-C866-433B-9602-AF15F66351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EFF0F416-F87F-42B6-A777-BB2F5DA875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9372EEB5-9E8C-4850-A636-2967669F4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76F5CFDB-F87F-47DD-BDA1-CC373D598B4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349B9C5B-491C-4866-A6BA-3BEAC3F3A14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3E3FA067-8DD2-4245-AF50-C6A540BCA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E255E693-6890-40BA-8B1E-5B33F6D96A7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4FAF9969-A617-4D64-BB59-9B5AB4084AA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CCC8B938-00DD-49E6-BF76-24720770B5F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7672603E-9FCE-499E-A1B5-E97398CA1D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710B392F-8C9C-449E-83F3-313A2D262A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D14B7D0E-5663-4EA6-BAAC-FB45C1C7846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63BC5E4-6829-4ADE-BB9F-8408F91241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2A1B3DAB-C174-4C9E-BB6E-F6CABC7CD70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4BA0F3E-D968-4BE7-AB77-90F714E2114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5FA7C57-3988-48A3-AF3E-45C0E19BD4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71C65D58-51AB-43A6-BE48-A8B22A7A34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105AF041-2FCA-4854-81C6-8540F456BB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BEE74DA2-8B58-424E-8AE0-D60DA07409A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BB675B35-73B4-4783-BB00-531C3306698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8DA230E7-5C81-4EC0-94C7-974BE2C843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9A127C77-8860-48B9-831B-59EA40AD18B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54F166B9-E4B6-4EB6-82F5-4B3F68B3D48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AAF1A65A-27FA-4775-945F-1079493316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7C47A7DD-64BD-49EA-AEFE-773E4A2B4C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BA53B4F9-7599-4018-A800-05954AEEA12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39AF249-1A65-49C6-A467-39DE42E64F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F487D4AA-F7FB-4C2E-A2C2-8F1332B8E8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8770BBD9-B3C6-414A-AD13-55D8FDD4C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F087DD51-AC2B-4B5B-9435-A35ABAA63B0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DD07009F-60D9-4DA1-B34A-85B83F43B6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4155E9AB-3DD4-45CC-B00B-DAA10ACCF72D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D399B3F8-393E-4AB9-AD18-261D7DAA97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FB4CE2F2-1CF0-4556-8EFE-FB400A5BDE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8A724894-C112-45F7-BF3E-8173837DB5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BD94C2DF-13D2-498D-B7A6-DFAFF5C5A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740428E-42EA-47E1-B6E7-09715878D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D3A88061-49F6-43C4-BD01-0E5FAA6527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3DA2F8BC-C4EA-46A7-B18B-62E3FED1104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31CC11E8-E6BF-4AC9-8BF7-7C9E7557D2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D52AA9B-D71D-4203-AA62-2A849E03CD2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B0F9924E-D2A0-4F51-895E-460BFD4B4D2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609BEFB-11AE-46AF-B255-63E8819121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6A03B72-23D3-41BA-B0FD-A3AF7AFFA5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807C5D25-5A37-4518-8B52-7D6CB9815E4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EBA41FD5-0595-4165-82B1-D99DA546C5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7946073B-803B-4E90-BC17-1EB09C4ECD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5DA56AA0-0367-44A2-BA47-6F0F97B773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4959E1BB-E6D3-418C-BDED-30AAFFC4618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A8442270-5460-4D4D-A6E3-FCC0734B83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1304B769-EBA9-47B7-A035-89DEAE937C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48426D3-1333-4E6B-8A3F-90936EA2B1C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118D25AF-1731-4D02-A3D3-87C8B959C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F67FDEE5-CC02-4B77-A348-9DA9887060F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F4FC59B0-CA57-4028-B6C8-96283011F8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F851EDF-ADC3-4982-87F8-64C78F334D4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20D20E39-0AD7-41C6-A229-4E57D5E3C7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2EA76926-F0F7-49C1-8E9A-6CC5A17BEC3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30381536-4CBB-4DFC-850E-C1075034F9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5F2285F7-8F01-4C0C-B39D-F7BD0F1132A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DB8479F8-BA47-4F1A-BD43-FDBAA441C90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3AA24C64-5FA7-4CE2-A3D9-B7C62F47FD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CA79D57C-2A6E-47A6-9193-F18A913DD1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3003DF07-EC08-436F-A0D9-4DD2D56F741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452EBCDD-E503-4E7D-9E4D-5C88B3FDA9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93FEE4FD-93D6-4E8D-87C0-DFB409C852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E51088AA-779D-4721-BFBB-C1EFD1DC394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8967C95E-BCA7-4FD7-AE15-B2EF497F16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AE170A30-4B8F-4E4E-B630-6729C90681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AE6E5663-4865-4F93-9495-DD797376ECA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ADD242D-CDBC-4EB1-9816-BB2795A17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A85D51CF-CADC-42AE-A7F3-E93E2679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DB4D21CE-1960-464C-9E88-29E87475281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6832A1A8-F84D-4721-A344-0B03D1FECF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D72EA4F-F4B6-4336-A8AE-F2F5EA3F18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7DDF9A79-A36A-4974-909B-8BE41AD02F4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4AB56827-4B89-4694-A6C0-CC686A19B74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5F18D8D8-524E-4E62-9D8D-58EA69C0AF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F2D7583-49B4-4DE8-9725-D1485F215B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EF7AEFC-62C8-4CF9-87FC-AEE3DAA5C60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1950C28C-841B-48CD-B32D-0262C97F6C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80AEFF0A-5026-4B25-9DE8-8F1EA0C4DC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2F9AC9C-72E2-4845-9F9C-F72789CB26E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4A26DA10-0B74-485E-82BB-CA6A1DFEC6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CD15108-EBF7-4A71-B8AE-0F30316CE3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785A6FEF-1AF7-46EB-A2C8-20EB6D6F1E0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254D8075-EDD6-4AD7-91A5-76A8F2BB4A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83F0BD5A-19ED-43C4-83D4-4E8347C23B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17E33491-8DBD-43D6-A612-95F9D2C7D1A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712579CA-02E7-4DF5-A625-A94D73C3A0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0E18353-BC7B-4760-9F3A-0E5F13DC9DE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58BD7AD-A887-4394-9816-DB4C4A2F669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E157CB3A-A69E-4B0B-8EDD-15A23473D5D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0F83295-7B10-420A-8830-D8E202CBA98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1D1C5BCB-2F02-4280-9FA4-77123EFACE3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7F2A4D69-41F8-4077-A45F-F8CCB8EB56A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CFD3B95D-E8EE-469F-B6E4-D5883B648A5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60C020CC-0526-42EA-B307-3CCD44C6DF3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277C6A25-7801-4594-B7E4-D8B04560A78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AB61D15-E3B2-4C4D-96B6-F096B41144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6CAEC4C3-19AF-4308-B926-CB2DA21E111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D68EDE50-D154-48E6-B140-DAB5C5081F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651BAEEC-828F-43F8-92CB-30346D844C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4AC66986-59BB-42E9-A512-94C98C6961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AAB7CDAC-CA22-4A30-B982-42A190CD57D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FC254466-6462-4108-880E-EA31F5E804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05DA41CA-F477-4FD4-9AD2-F0C2DC67717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F9023DB2-A4DB-4A3D-8B1F-980DE9CE873B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C7FD95F5-B9BD-4F87-B17E-4FF4CAD3AA2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894A529F-F7C7-443D-A1A2-A7DC73C0EA1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F84B9B19-AD77-4188-9086-2B937FAF54B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5EAFE404-C17D-4280-9953-241DDC5BD99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47C1B122-F31B-4A1D-B8A2-38D63BFFB3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B49A39DA-688D-4C48-9EE3-3558D51DCF9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387BDED-21D3-43AE-8805-DB84547C5D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94D92C28-F491-4D7F-9186-806A7E66D56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FF7B6933-2F9C-4F72-8BE6-F79D21323285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E657D2B1-C2B4-4826-BE7E-74364174E9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96DCC8EF-BE6F-4EF8-9DB8-356A869E20B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1C039B5-7D6E-4DF0-9C7D-6A0FE66FC7A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45C6B8E2-30E1-49F0-9BFF-A4480086D3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863AAD6-6F8A-4ED6-8E7D-648A30A8694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D7402F55-0EDC-49F1-ABCC-E063254C377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B2FDE882-CC76-4EC5-A02A-549D7D3F9C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381E4209-53A4-4BBD-A86C-17F094B78E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00C2588F-2F1C-4915-B350-A53F12BDE18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1BF1E794-2F87-4A05-B26C-2CE8DD6A83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39BB3DCC-7F93-4048-B555-9B29C1F02D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9D2469A2-C6C0-4157-95A5-B2EC4ABDBA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48267F80-847D-4898-B890-FD8A56A74A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DBF08A3-9C03-4638-871E-036E3628A5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C9862EDE-B85A-40AE-A678-999117C4AD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A12F05A8-12D9-4C44-B197-821B8BC7C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67656081-F11D-4223-B7CE-FD3277518D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EE10E2D-FB31-4154-B21E-4682426368F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645CFB44-3D68-4977-9597-F7A2A74DEE7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0E6BC5E8-132A-4DCC-B7B1-A7C271D911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8ED8C911-74C8-44F0-A359-DDCBD6AE2E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58DD2398-5691-4A59-A664-8BD86CF4D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7031B09-F3AA-4E0A-9634-B766997B325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6F25F9E8-2919-4446-AE88-023910F600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B76FA520-C4C0-47C5-9EB4-81941FE517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88CAA558-B174-4B05-9CBC-E384CC6902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0D42A81-C6C7-4438-8775-0F614532ED6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16178900-2BF0-47F1-AB05-E96D3E1B392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3FDD82CC-EBE8-4DFF-9D18-521189CB9B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596FC603-7E6D-47F2-B32B-F80E75A826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7B1DA955-9276-4CFF-A9EC-C255426D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CD28F9CF-B6E0-4130-8454-C2C395B6D36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5C4B3C22-40C7-4712-9B10-FD3BC8A890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277D9B1B-ED00-4A91-81BE-0BB6CE878BF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29BB6C7C-7C82-4B1B-B0DC-269DBC898E3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AA742BB2-B1DA-42B5-B9AC-C166AF356CD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1F112A6F-D7B3-4AB1-A62F-2D6997854E1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AFB6EE95-A097-4DFF-9180-8A8BF14532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B601F65A-9886-4C09-8078-DA74AA4D0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A63A5EA2-627A-4B67-A2AA-79DF1AEEDD5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AFB390EE-DABC-40AB-BFB9-4091A0CEF6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C1C92DEA-7767-4FFE-A4BA-E5A954FC64C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7FC98EEE-B5DA-490B-BB66-E9B99BAFE95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901111D7-DE8F-4A88-9E93-BEE2349BB5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956AD035-2484-4268-8A99-E4FF312D08A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E3F8C41D-00BB-4080-8486-45F1CD53F2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C0CCDF49-8BD8-4CE3-A06C-283B3DA125A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A400F0A-1859-4285-ABDC-A7611E54AC8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DB5E30D3-6B00-4522-B0F5-B3E43C54F1A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B7F821B9-638E-47F7-B385-74F0DF726C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D65D8FB2-7688-4DD8-B39C-271217F8CD4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76CD03A9-A195-481B-AC4D-FC4DBF9BF0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5554981A-F6F5-4A20-9CEB-EF34B3E185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86A7D946-916F-40B3-BEBE-B754261D64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0B7C14B8-089F-45C9-ACA2-849F872D288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CE305A3B-BAE2-487B-BCD3-658DBFF34B3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F635228D-00B8-43EF-A506-FAEAFC01F850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D1EDE840-0256-4F1E-BB4D-4F6FD2C0710A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42055892-F47E-46F2-BA6B-A59DA8113DF6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A8F3859B-7BD3-4160-BFAD-131756227AF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FDFCDCE9-EE18-49DC-96D3-8F47505C494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88F4CE9-D769-413D-843F-E52B56F5CC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B34EEBA3-6C3D-4501-A8C0-E2FAA9A15F1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A157B26A-1F15-4BD7-994F-583CF6ECE6C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CE1F7ECC-FD3C-4587-8592-9CA1539D7F6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FF9B53A5-3E4F-428A-BA32-C4AB8B1E03A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BE018902-78EA-408A-AAFD-6777731A8BA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2FB390C6-B432-4B22-ADF0-4417C6FC744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EB65929B-059C-4C56-AD13-439897CD77A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AFE231B3-C1F2-4D31-8E35-4ADDBC68541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248E098-BD13-4856-94D4-067AA13B6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679B8DE-3F2F-4F08-885F-026162131BA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9590A38F-7539-4259-A57D-DCDEDE3242BD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2922C758-81D8-4D82-A907-9D58D9A01DC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A9D7FA98-E84C-4DB1-9F11-B192096D0DC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EC688C2A-E508-460C-B042-3BB148337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6FDCE3BE-C8E0-47D1-9EF0-7D881187B5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E17B6D7E-DE87-408C-B896-4BE0DAF9030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9086D3F6-99DC-4BB4-8648-43DE5A8931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524C8309-858B-4664-89F0-D25260654C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BE996EC7-936A-40B3-8247-DBFA05C6AA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A7220A25-A823-4653-8DE5-3B8DE1852F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7D9F7E33-63B8-49D1-A6BE-6334A3B0F2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6FAFA72-9BAE-4C0C-AA17-C5D43AB330C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54EECAF6-1C30-4222-B361-49F9051B0D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F8463358-7483-4FF1-BCF1-4F0520EB8B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451D9432-59BD-4E20-850A-E95838C8BA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68DBCE13-997C-45BC-81DF-1FBF0E81A5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89524D3-4636-44C8-BFF3-86D8149BFF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C3375078-96A6-4D9A-AFA3-56CC08FCC10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DCF72C94-FA71-403A-B3F8-0EB439B282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4302A555-584B-4582-80DF-BE405C10D1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8F3EAF69-5193-4AB8-9DF5-D8DB19D9C1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4C2556-27C8-4DA8-9E3F-1D86AFC5A4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4A632E43-E6DB-4F5F-8A2E-5E43F95A4F3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AA599950-1D39-4B95-B44E-525D557EB7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D4BA3FA3-29E5-4345-BEA8-D83D60D57A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D7A38F4A-1180-40E2-B4A3-1FEDC2C37F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99E26CEC-1F68-4252-AF02-9C36BDF24E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71DE4BB1-FDA0-4275-BAA7-AB780E7FBF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7572AC4B-0584-4D8D-BF6B-1BB4230D973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10CFC485-1241-420C-BBED-4FC9892C7C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6E0883E2-7326-47EC-86D3-44235AD159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E147ED1-13EE-49BE-ABEA-6BAF1D2EB7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4289B911-114D-461A-8079-713EEAA355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F2EB2A9-E1A0-4598-8A44-7BF1536337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2F666E62-9490-4109-8328-887EA275223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7246E943-0073-40F8-A663-18D757DFA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CC44EA63-8019-40DA-A5CB-967C6AF63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655984E2-1A2A-4A29-B24C-9180DA3872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5008D9DB-872E-4C1C-A048-60079EC0D6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E5A99CC5-5596-4DE7-AF73-E216858FF7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5697E5F7-3477-41DB-8602-BCEE0A3DA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68521C72-FEFC-40B6-83B5-D5A9C345B3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7233DA7-74E9-4936-BD63-4D76668B58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91AF38E6-5756-4EB4-8A4A-5E0850FE8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60EDD720-2CCE-48CD-ACC5-DE3A91066C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6F88ED5F-08DF-47DF-9516-61DDB7E57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86D7138C-477A-4EB7-B826-3BE1D9EA373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30067BF-7ECC-496B-AF85-1DB7891924B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2B18DF22-541A-4E9B-8952-2FF0925355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A9B7C2A-3652-4836-B991-045DB004C0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80C0976A-FF71-4151-8A7A-025DE0B0D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C34C0CFC-F8CE-4233-A528-809133FF91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5C3DBEC6-A7C6-4E9E-A40D-6E508C27C9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B855EBF1-5652-4D26-83F9-D9A19F1535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80C10018-F4E9-4649-985D-04E025C97E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4916B0B4-4FB7-4634-9CC2-B4F1078E9F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93A4E575-941F-43B4-BCB4-A648055F2A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3809E7D3-79D8-42AF-8125-D340049304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EAF7902C-E909-4065-8B52-275B70A037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5A69ABD5-B016-46E1-902A-F2EA7FC438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E7F63BD0-8409-4579-A316-6437EDBBA5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D8341CA0-8B23-4824-96AA-2D85DBC607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A302C67D-4364-4FF3-B220-03F82809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91E2597D-90B7-45F3-AF6C-3B29AE416B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90BA52DF-EF73-44F2-B50C-A755DEE727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85835DDC-108C-4032-B7BC-425A331DE4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427E79CF-2D85-4C39-8D0F-82F3E4E04E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E672AB2B-E0D4-41F5-83F5-8CE0DCE71C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E2A7F9FC-5427-4ADA-BD4C-53DB24B120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5CBDBF61-F5A0-47C1-A0BC-F5CC2783E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23077CFC-C141-4507-BF7F-BA0FECA45C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660EB24E-5B25-4F0B-817D-A05FD073F4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8E172EBB-110A-44D3-91D2-F4ACCE2092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93011594-1425-4C27-AD6E-E5F263A1FF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845240FA-A7D8-4D2D-A18F-3F34E8417E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EAC09978-3635-482E-8F07-43A8C65EB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FF55654-AFA4-4C85-A6A6-AB79597879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9B19BE13-55B6-447A-88C6-796C81B674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E36014E9-97D8-48C0-8DD1-D7FE856C2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C83F5403-353F-46D5-A7C8-7BE29C0747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620B31BE-0F6B-4B4D-BD4D-5CAB1871C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3364606D-2499-4F93-BCCE-68E9BCC57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56533F85-B40A-43D5-B6B5-3C6945B540A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8E9C45B4-AF4B-4B31-A6CD-73B0A6C9F5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5C39CCB-69CB-4F24-BC60-4C19D5B4E2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550D12F-98B5-4976-A566-8AC40A534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3672EB5B-EA44-4285-BE19-D13B4BA1B1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997C8B00-A154-4EEA-A29A-7FF8E180C97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27CD7DA3-CE11-4E6C-B4FD-474C71F759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FA5AE96D-5673-4F04-94A6-10A811008E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7CE180EB-24B5-4CFE-80F4-12519464B8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B05B66D7-F2FA-49BC-8BE0-4300B800C2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A83EB3A0-49EE-4820-AE78-B8D63BE5B2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1740E951-CA6B-48C4-85A9-9E0EF2B1CF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7FA01701-C233-4F1D-A3A7-048199C56B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E4B15605-D82D-42FA-9C07-2F18A2D919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B9E8CA5A-B5D0-420D-BBC8-E7C99ACAEE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C5B1A783-732E-429C-8744-B43712B6A2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D3A8F6E7-6279-43AD-8BA8-3F3E1107D3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5AEB6BCC-B70B-4827-8FF9-6C2A8DBAE4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D22A0564-02BE-4EF6-8A5E-ACF325CC8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9699824B-DF47-4A52-A520-580D7DBBB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54A0860F-8A77-41F9-92E5-71E167826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AFEC55DF-599E-40F4-ACE3-34425960B0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E426ABFA-CFF4-4F2D-8FBC-A30AAEE049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FE56F03-F6DE-4ED5-9186-9A0F0237E68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F60AECF0-B290-4854-BFFA-A3E63BE268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83A5292D-0A73-4A7A-8D0E-78E3CDA4F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D8B28372-D287-48EE-87ED-F45A3A3746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DC7F0EDD-B59B-43BA-8D17-ACE7C6F48D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B03CB3F4-9677-4277-9DC8-87E0C1D0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BE1529FC-071C-48F4-A0E0-ABA0187FC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9719A2BC-2225-41DA-B088-8C6F1855D4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C18BF918-ACFA-4501-B8D7-C54239A36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684E3874-072D-4D71-8DD7-395915E3A3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4116ACF3-5974-4061-B2FA-A06B838D4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624CB34E-3CD7-4C86-A5E5-434A63E809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AC64AA25-5F3A-4E01-937A-DBF4A1D7E1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822E62D9-F35A-49AC-8418-00526EDDC2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1C0703C4-9D58-4108-B077-DDC75F933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A9C101E1-87E2-4608-9B38-15A26A838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AE24DBB5-9742-4659-94FA-85E427A6F5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A3F2723B-EE7D-4210-8BFB-DC1208B753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3C79F10E-FE45-4105-A9DB-3B75979EE3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2C24390B-0701-4DDE-8B66-CFE9B19CF8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7A19CC6F-D2D9-4B5B-BDC0-20FF5A59BB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05D645ED-408A-4E21-AE76-3AD5515F7A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C69D8624-CBDD-4824-AA02-CB9C46BD06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B436B923-5FF7-4406-9E13-47495A753F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88104C5D-96D2-4528-B1C2-5E37024303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2275321A-38CB-4827-9485-EC96CC66FF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7D349384-1040-47B9-B95C-D59D4B91FD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3BC36897-A892-4783-A6B6-2520D84062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60758F1E-6261-411B-8A7B-39CA94F997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BA3C701C-289F-4B57-9347-60B62AAB1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E188B2C7-E4A0-45DF-9F0B-FF2D94FDA8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5AB4662D-4023-4721-915E-E09B7774D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8EF577BC-03DE-4998-8308-3F31474390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95719054-EFC9-4628-9970-7EFADE946E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D2B0F20A-81CF-428D-A8A3-48409D20C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F05E360-D635-4D99-9B37-3BF696EAAD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A1792DD0-A4CA-4330-9972-7324A5F210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121DC0F7-8564-4BAA-BF2C-E72642973D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84E1832B-B4A9-4783-B5E4-B45E8DD2EF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35ED4948-2893-4AFF-ACCD-932E9CD286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99B4F2BD-7DD2-4821-807C-92B10703DB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51ABA6CD-2C8A-4EFA-A6EC-B63EE4DADC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308732B0-2F77-4FD5-B519-3E87877E7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27DB4FA7-55E1-4E9E-BF4A-B8DF67FE05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DF4C3166-5FC8-48E4-B497-6318550F41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222C2922-8F79-4102-BD27-B167A20E88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CF7BBE0-8A43-4EBB-8704-3262247675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FF20B9BB-00B7-4DC2-B570-ABDAB4941C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DB29271D-98D8-40BC-815E-B183FCF1B3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B0A648A0-9FBF-4956-89D0-40941DDE04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30B85307-B20F-4952-AFBD-B7E4FEE199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64AFEEB6-3725-414B-B134-2180FF4987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A2BB0745-E681-43D4-B59E-368FA31BD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C7137272-DA4A-4A93-8C2E-FD037847EB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B0B02D8B-C8D3-4E00-9AF7-6E0D3080BF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282C1489-5176-4A3A-BFBD-31506CAC96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289B07F-2E7E-4999-9BB8-78D48E9B9C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A47CF9E0-E4F1-4313-8336-B7B17954DC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42F2C4A8-A87A-49FA-8C8E-70FA017A62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C866071C-FBDA-49C9-B774-F202CAF636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50FAEE18-2CDB-4370-AE7F-FAF828F2C17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75B0432A-692C-4BED-8ED0-E88E628412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36C9D876-9344-4E35-915C-EB26101A7C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32D1CC7F-DC14-4ECA-9B08-35944FF92D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88DBB998-DE7B-4C33-BAD2-52C321A248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98C8DD5A-6788-45B9-94AA-34E607FDB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511BA331-3A1A-481C-8812-32C776EF69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9B8C5A4F-9B99-41EC-AD0C-8583A5113A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6BAB952B-AB29-4E94-A664-561B6A120D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40B5860C-1661-4654-9479-4F6D475CFF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CB0CE19-2EB1-4ECF-A017-9D2E2F26B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DE196B19-0337-4FAB-8403-34D6771DAF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C8DAE7B7-6B93-4C8F-88DE-D526DCF3A3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E25878C-3CB0-4819-8D94-9F86FB251A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72C554C7-9F9E-4DF7-828A-47DD558886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DF7C9DBA-7EFE-4464-9CCC-83A743F7BB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75EBF9FB-95A2-4447-91A0-F60892801B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7AF4B3F-9634-4D0A-8C7F-3DAD02CF323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5C07F883-2909-4C9A-BADC-9F4F87A5BB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D07E424D-9EAA-47C5-ABC0-103AF8DC47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F47F1D64-D9FA-40E6-9B0D-71D6BD35AF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DB4818B0-2A09-4F95-BCA7-67D168D10F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4E9045B0-DB26-4AAD-AE41-D267BB613B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408FDEFB-CF12-4C61-8964-4F5A19950F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AF90CEB4-DF52-4377-B305-06417320F7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B4F25FA-B612-4C75-900A-557A87A6A9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93DD261D-03E6-46D2-9877-A78E090A34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84EE9F40-ACBF-4240-911B-F3DE07A6CA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9AD258DE-C8B2-4CBC-B33A-BCB3E0A4C5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E4EE8DE3-529E-4053-8D90-6EDAA93CD9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3EC28DDE-05CB-4D40-8C3F-207831FC4F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B2F7A5CA-2E12-4235-988C-80C1AA97927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5B9CF657-4D4D-487A-9C7D-FB6987FE81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E0030A70-B299-4E82-B5B4-B5CD4B6F7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2241F53D-F4BC-4055-AAF0-3D5968A108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8BC0D435-85FB-404F-80CD-95FE065EFE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0F4A78A2-E2A3-427A-B44E-3B7D9E387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05E99FB0-BBFD-4ACC-A9D0-F034980CFC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71168DE3-9203-468D-8779-BB44C10391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4F0BEABC-8FFE-40E5-93B1-78D0DF37F1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8ADED4A3-CB32-477F-9B3E-F436632CE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66687905-D67F-4FF9-BECD-D8C1C81877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BF77A6A1-FE74-4A93-A4F8-25E23E5ACB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2304A798-3AD1-41F3-80D3-E7EE05D06AC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B0534785-D08F-48C1-B789-2F3773A784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CB7F2D88-1896-4A2F-960F-FF0CE8E4C3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EE1F73E-8982-45B4-88C8-2463A9BEE0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3F7B8A53-9727-4A3D-AC12-5064B40727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399093EE-52F4-4E25-9227-0D77B4153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B38565A8-68AD-4BEC-90DD-F65C287D02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C08C1866-5E50-4DAC-AD63-3839A51E42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84B91EEC-FD38-4676-94BA-CFE9C60D4B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9394B2D-8BB3-4EAF-9927-F40EF6CF2F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DAB0AE7C-7077-4F25-A18F-B543CD7488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9DA03F8-F555-455E-998F-15941881CD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B13450C5-41E5-458F-B47D-120F0F4DB4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B2456DAE-A85F-449B-8B03-33188EF35E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FA8B4420-3AEB-4827-B97E-20EBA663847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47D9F5D-874B-4ED2-A62A-BFD68F505B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C31AC6F0-9494-4BAA-A0E3-4D59D0C7BD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F0B3998F-3988-4FA6-8B95-EFB003791CB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1B225F92-89EE-421A-AD56-664968BA83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C40A1BFE-85AA-443D-8DB6-7372D44E86C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29174492-7C1D-4383-BFA5-C9FE2B24A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52FBA8A-3358-4D3A-BA8C-71F6356E7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22F20C16-83BB-45F4-8476-4AFC0105788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D1E6F589-14D8-416D-80F1-9D8FA0D187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8EB76310-CD8C-447E-B8D0-E73ED79B5D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EBE44A26-4F09-4AD7-985E-5E5FE45D53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81173D88-7AE7-4E89-90BB-E6022662B0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733BC2E4-EE52-4CA1-B451-8E5B82B9D8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3E869E99-C46B-4780-8F95-EA1B0E82C9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B96E4506-2A8F-4B40-A791-51199AA7980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46C5BBD6-A4F3-4B36-9536-E2AFBBA8F9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0D391909-B1D7-46E9-A441-4C98031CAF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17416C29-DE91-4CD3-A687-BFBBAF472E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9D88FBD4-6852-406A-9655-7A110F769F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7A5BCFCF-BA56-4C8D-A638-288D960406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C0FA0F5E-2FA0-40D8-81FF-35C2F5516D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129F95A7-DC5E-4EFD-8568-B410706E3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43A4D57E-BCD7-4AA6-966A-49BC7F26C1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D0C8FD85-1810-42A9-89AD-E9699AF59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A67F197C-28BD-4D28-A935-BE5DFBA1BE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BA4A8242-713B-4502-8354-68D63D176B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CCCD5B35-4DEC-4DA5-B453-D226C646D5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93938332-1176-40F0-A077-582C07483D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FCE085D4-1166-410A-BF21-CDAF68F655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3A14F252-B435-4056-9A55-1E778DCBB7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8A89357-9DB1-41CC-9E42-EB7D0038F3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17E51913-3D61-483B-8DA3-358F7E5707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D9BA1CE9-9BC2-40E8-B3CB-39270CA874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05FAFA8B-6376-4B97-8046-F0697A25C2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9E208EAF-2C43-427E-AEB7-D36D4AC8B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C788C369-5DF3-4CA3-A831-E0B822AA5F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1A1EE070-08CB-4064-9794-8F68EDC990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74369094-1CAF-4A5F-9C32-9C5A460295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8122ADFF-785F-4F25-AF89-E0BF309703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2946CEB9-1333-4FE3-B125-C87EE6E9B1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A143121B-735E-4CDE-89A8-984A830EFA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ED83FE48-FD31-4C78-9226-EAE35B5E6D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B67D3A3-D966-43AE-8DBA-7096998828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6CBA07FE-F59D-46C2-AEA9-7DA514F0F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624DACD8-D100-48EA-8A9E-D8B81C272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81E66422-7729-4FE7-99BB-33E1D0282C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C3CA88D9-5932-4AD6-9412-44CE717EF0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1CBA91F7-1187-41C0-B8D7-6137C1670C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FDD4EB96-476C-44DD-9135-7FF74A7921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AD04825E-4F5B-43AD-ABB0-CAD3FB4113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457F47F7-1558-46B2-8DB2-FAC6C73870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716AACED-8114-43D8-AE4F-6FB41CEECD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B617D157-3A82-4E50-A7BE-26ACE33BAD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7D240B2E-A00B-4E96-80C0-D3F56D1974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641BDAD5-6D13-4011-850A-6217BDF74F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115CED2-BDAA-4BB2-B126-298B8B3CE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3662B979-9684-4531-99E0-B8EDCE0BFB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BF713561-A772-4CB6-9859-1BF72D5A2A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26C96DF4-33D7-4659-92D7-FCDBDF5829B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2BE21786-B037-4DC9-B2E6-829F1D4839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7F66B54-1042-465E-A53D-9615EA997B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2076DABB-88FE-449C-9E3D-869CE84EF8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AE220409-E30A-4597-9E80-4F8B1D1D87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B0221362-46DE-4394-B083-26D14844A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0835EC60-971C-4F07-A3CB-EE9AE895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F9A817C0-A0CA-432E-87F7-C4D0A2B339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392750EA-7E7E-4397-B842-4542E437C2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088B8FF4-2D65-47F0-8019-E13ADAE8A2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6A927397-6C63-42B6-896A-797FCF9CC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E8718989-84B7-4AF6-B65D-031CA7486C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033469C0-A8B3-42FE-923F-DE510128F6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4E9F4D4D-2E8A-46E3-B0C1-6C00C58B8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63ADD882-CE42-4211-904E-E497D47F6C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4A4A27C-5C89-4B17-A83F-2044B7F460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863CC781-5B63-4980-9BD0-F60E83D3D8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02D47C71-A106-44CE-B3C4-711A2160E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D5E62821-2B36-4CD1-8065-D819C7CDF5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7480899B-DBA3-473D-8EBB-DC74BEEE85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BEEB359D-1663-4447-A82A-8626F26312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223E36BA-C2CC-4A09-8F58-00B66B1319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F41591F6-7F44-47A0-95E6-B02FCEAAF7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E355662-711E-40E6-933B-1DE8FA23B3C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5F52E85D-B1A1-4A54-99CB-2DBD790BB3C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DEB9B9CB-BD3C-4E2F-A4CF-E8C5ADBBA0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A931900C-D839-4914-8C86-C5BDD737D9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E24C26F8-BFEA-407B-A71C-512657F133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E857A91B-BEE0-48E3-B6B5-960AEA6B96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1F0DE1FA-1475-43D3-8D9D-E6BBB35AB5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8B53C233-45F5-46C0-AFDE-03A8DBED18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11A130FC-4E97-4BC5-822D-0C4687E385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F278D06D-C90C-49D1-98B3-727A0C6043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D74AC29B-6FE7-4EA8-892C-4EE4922B54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DDACD7BA-780D-41BD-A349-171A3D77CA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95C91674-B7B8-420F-9F72-F171C91BA7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9011D62F-28C8-4E5D-99B0-A424D4747A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695C4744-D138-424B-A28D-AC42A94EF8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9B5132F2-6697-4DA1-8483-E30AEA9E13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05E4F97B-0654-4128-84C2-2D12F36859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451AADB-4D1C-4B21-8A0D-D695470DB8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05DB4B9F-80E6-4E68-BB8C-39E33B5BD2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0780153-BAC4-4FB7-89EE-E2C576F917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37D10AC2-BEC0-4C73-BAF2-291B1BEC42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3EEC2DB3-7A1A-4D65-824A-8ED395EF41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146CDF18-F83F-4F23-B6C7-C3137FE243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F68AF34B-7576-4460-89BA-1FDC05CBB7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83CEFA7E-433B-42C2-A5C1-B999F9710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27B6C96-00C3-48F3-9C58-E286371E4D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7FF56CB2-475D-4D18-B54E-BB39785DE8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E2D43801-7E2E-41E3-9C65-804F6C9AF2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75810AD2-B3BA-4E7E-B679-2B2C391186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59A3C51A-4ADD-4DE3-A8BF-5283CD76A1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A60BD2CD-AF41-4287-9810-B41ACABD20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FCD96832-8030-4F3B-91C6-903A9A3F79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039BF802-198A-4FDF-B720-0B2F6FE98D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8C31FD7-BB4D-497C-9198-31FCE5FBAB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0705B017-240B-4D70-8717-B957153F2F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026A7108-815B-4AFA-97C2-456DF5C653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9C0C54B3-A72E-4891-9EFD-02106B50CC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FA47C391-98B9-438A-9AB2-2E4BBAF783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4E9ACB6-FE13-4A0A-9470-BE552ECC52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37919C05-60DA-4B28-9DF9-7643F3718E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0BCEC898-A8BB-4326-B12C-CD1F47261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AEBE2407-C746-44D2-B47D-0BD6106F4A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857C50DC-4448-4F2D-A8F8-1EE601BF76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DA0BEF50-ABFC-4950-8C0E-340F7C8F0CA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9FE4FB2D-FD01-4CC0-B575-73809A919F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28854D22-A9A5-47E2-82D0-63EB7F5413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D051440-0625-462D-B5EA-F22B26BFE6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5F4F4CF3-28FA-4E4C-A889-08502592BE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A711B034-722A-4D38-9B80-0DA0FA630C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491ACBDC-3C80-4ABE-B2EC-784BB9B3D7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701989A3-3E85-411F-B7C7-C4C82C731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DA89597D-4B64-4122-95D5-36BBFD6C99B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BBD9E9D1-8D75-4E82-844F-A6A0286B08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613429DB-5AE1-422B-95D0-7B7C728586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7B4008E8-59CA-407C-A24E-2C853E537C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E12A06C6-25BB-45D7-B372-F6E303D492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5ADC426C-9687-49DF-BE48-1F760F76A7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19D0F3C9-B69B-4059-AF64-3D3465B2DDC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E6D1253A-9010-4A37-94FE-7DC7AAB1BB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ADDE2E4A-9958-45F0-AA99-30037B17D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DFE7400F-07E4-4957-BAEF-B90BD7A3CE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5BBAB1E4-6686-4029-BA94-2233C86F82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3D4A4CBD-878F-4B95-84B4-AA0FDA3E5E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393D0FE5-E18C-4AC0-98C1-3D8074112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373633D8-AEA8-421B-A0F2-25C2438F40B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C3FBFBD3-2104-471F-B451-678F761CB56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9B0DF632-3EA0-4EA0-BFCF-49EC7FD9573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76BE0B01-3DC7-4E7D-B51C-7B567FC6F02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8DB8DDB3-CD71-4688-8CA7-BCE666FFD23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EAED566-3BF8-4BC6-91C4-E5FF8D73758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CE00635C-1635-4211-A72B-F61B0DE0A2CD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4D939FEC-31EE-48A9-B564-C1FEE4EB55B5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3EC1D1B2-CFFB-4C66-A41A-90546E5BB09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83EC958F-B93A-4F90-866E-DF1E30876BD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62C5598F-6570-41FD-AD45-0B7D5E8DD4A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1ABF28AD-791A-4078-88AE-4338E353864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225A2885-6F40-48A7-AB3C-1F350A05D98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3F2D57BE-BACC-40CE-A6A7-E7956B934F8D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4B082EF5-FC92-451F-8EF3-9353D6DAE95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158</xdr:row>
      <xdr:rowOff>0</xdr:rowOff>
    </xdr:from>
    <xdr:to>
      <xdr:col>1</xdr:col>
      <xdr:colOff>1390650</xdr:colOff>
      <xdr:row>158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342F6B9B-4D0C-4222-A531-CD33F44530B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03ACAF77-A2BD-48B4-8603-91799315E4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3ABD5DF7-F76C-43CA-957C-9ADAD10BCD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64073E43-AEB4-49FA-B4E2-CEBA893F9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9A7C9B00-0500-4858-9FA5-D7E828C33C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B60468A7-5BF7-4230-BF79-A35D85C777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017F87DF-D229-433C-A3E8-A49D3DC64E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0FCC6363-5091-46EF-871E-56BC0893DD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AD517A96-55AE-4C81-8191-CF4337D41C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2867FAAA-A7CB-43A0-BD29-85BA96F35B5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8B29925D-D5A6-4410-8AA9-F11815C147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4D37A38-2D7C-4283-A5F4-87594C0DA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488A1DF2-765A-4D95-B0C5-FE07F291C0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5C12A54B-69FD-47E9-86E6-F87F8A6210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0EC07228-524A-4955-8CB9-97AA7F0D9A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F094139C-53F8-4E15-96C8-1356878BF6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027742F3-090E-4DA2-962E-DCFD66AEB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22D34C7-9D29-477C-994A-AC88A8536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D99C81A5-D98B-4E13-93FE-E08DE6D116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A10DC43-8A35-48F5-B0A6-68E3D8692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F0AE7CDE-F26B-4D15-A53F-F0D010CB08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1AF818C8-3E33-4C5A-9ABC-AFD2003C03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A4481B19-B093-4C4F-8A48-A95BF2C3165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A216E42D-5805-4848-B5B0-7DE7DD0E6E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3FC0A349-8300-4DEE-9964-2D271B5304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CA8388AA-D9A4-48B9-84A6-219E6F34C7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D9C83EEF-F5D9-4BC9-88A1-A16C284CE1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6D5B5EFD-584E-4020-BFC8-AD5EF45E66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27F17BB3-04F4-4F74-8A61-50FD25B4A3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920AC12-B6DB-4A29-8B21-E2FDC36518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93677CD0-CDD5-4D88-A5F8-8C8CABD93F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8C212882-C617-47AF-A25B-40A5C64C67C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8A3FA11E-957A-40EE-A84C-84715D2021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2012A35D-AE82-4185-ADFB-91A98E1DBC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2850F201-0C55-4845-8E13-113047D400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782EBA72-BBC9-486D-9019-DE84FA95C0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347D0747-8C74-4F47-9ED7-19B4973231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9F37A003-867A-4B25-BE1E-5CE416DB8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841682D4-8BB2-44A9-A739-1C22F8E751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02DFD403-4879-4696-BE5D-1D7E1B30EE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3B4AF3CC-0B7F-4A73-92AD-CA6A242575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A1A96A1B-F974-46A4-AAF7-555C2A21B0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602847B4-EFF9-4B33-A802-09FC40A383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C82C1E58-9896-448F-86AB-3D4EA54F6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08C42284-0623-4565-9985-DB1FC579E1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5D3353D4-E8FC-492E-9A38-F1F9D701BB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6AD8D3C4-8F5B-40E1-9673-F528A42BA5A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BBAB77D5-7A4F-4043-AAEB-91051EC6A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2BCCE808-A086-48A2-85D8-46D6BA5291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A6DCCBC4-EC71-4C0F-AAE0-CC507D59B1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479E18BA-39FB-4848-9972-4ED88BF57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C78A9F8F-BDDE-45B7-873C-08889F595F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75B41675-386D-4C1F-954B-8CE0087E0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54711E4C-1C8C-4151-BE06-C79F0947E1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C520F303-2446-4B20-AF1D-C21A5C4552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232ABE4A-5F91-4269-B9D1-1A5FEA651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BAF40A9F-C07F-41B1-9740-6C1D6E302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6CA650C3-37CD-4339-B13D-C36AB1DA3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93A772DB-0C50-4B10-A862-385119C40C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5F5B8315-3E02-4744-9205-09D34096C5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4100B56E-C4D5-46CB-867D-F409EA980C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27884F18-7617-4C7A-AB55-B84FE8FD874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D6478D21-4DB7-4959-84E0-908A9A847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47B6E5F5-DC64-4441-B495-EAC829C654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6E69A090-9513-4281-907F-5E08E81200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61238F11-405B-4214-BA48-EF59960FD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75BAAD0-FB48-4A24-A8AB-7418978997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C3C65DD1-87C7-4348-AF31-7A13DC9E63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58D31962-7B8E-4E8B-BC75-E8FE633374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26D77A90-3542-4C89-A2C1-B3C55901A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B5142089-E76A-4226-A554-AD0775FC6F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888F38C5-1E4E-4E92-AA84-B0CB76068C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78CF6731-4CE2-4E5C-9D5F-337C9A8F45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6F248754-32CF-41B5-90E7-494AEDD074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8AEA51CB-99BE-493A-B281-702142AC86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50E53E52-08DF-4E19-8F55-0282B0EBB5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E0D3EA19-8940-4E66-B829-4B07583D5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BE549D34-13F6-4170-8DBB-F33E6B1F3A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5504D5E-2D23-4C53-81DA-A3B65AE618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873FB2E8-E723-4727-997B-04403BF2A8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E20A8736-60E4-4B54-B559-2AC9FFB4E5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C54EE6B8-3EBB-482A-BC1D-82CB49281C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C3BDBE1B-6860-44E1-89EF-F4EE294F87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C0B85BFF-F532-438C-AEFB-99DB1A9DA8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498321F5-92C1-4F68-BF17-631344608F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F05AE0C4-090D-4E10-A130-0BDB2672BF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E9920760-2B59-4FE3-A334-7058866BC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AB923CC3-51F8-458E-8556-84CCB0473D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CBB0522A-7B73-4698-BB3B-70E919873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D1618F73-F441-4600-9712-7CB6CFB6C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9F438D40-EEB4-442D-800E-DE37D40B0A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53A7A3F6-8503-4945-8D95-AC75D3237C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CF399E00-010A-43BC-A695-5B9BBE1F7C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AB060B91-B231-482D-BFE6-9E6251D8E82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EB61B45E-9F93-4674-A5E5-30599678A2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225594E8-D0F5-4F7F-9F24-383D0CB7CB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C50D47DE-5BD8-4406-BDAE-4B13AADB35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C85371E4-5724-468D-ACB7-31D7AE50BD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DAF8647D-2593-4956-AAA1-6E1EDE6F79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1F9CF6-2C3D-41C9-A208-4878601EF1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F6BFD2FD-466D-4CFB-8F83-DA237D09F1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3F10ADD5-99F3-4424-9F5F-F1B4440FFF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C90992C3-F5BB-4D2C-B57F-6440712E4E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C559C0C0-24C1-4D3B-8DDB-5FF4C3CA91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695E997D-DA83-4B93-B177-A051B5D97B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2E042B09-4737-4258-8A16-3C2739BEA8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EFE2849C-2611-4734-B9ED-BBD9178C1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1AF07991-5F2D-4722-97BC-A98B4C25E3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B25E8168-ADB4-4399-AA64-E13DC7A2E2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BA09C197-886E-4B85-89DB-1C78105B1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FF82E0A0-56D0-4B48-B5BC-D0AF4E9F64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9A53C096-3D1D-49B6-BFFA-EB2626CD3C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1CC0C885-1F0B-4E61-9A2A-9D6DC04FD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2E390B72-910D-4A45-A18A-22A36AFF8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F2BC5B87-0DBD-4D97-926C-C969EA6F3C5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665ADFD9-06E0-469A-927B-D5C72D438B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7371C8D7-DDF1-4E82-AB51-A521ABE8B8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B80C3F94-55A5-4D5F-8733-B202825262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285B72B0-42B0-4F33-B8D5-CB8D98EB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0CE7E8C2-A72D-4E7A-91BB-E5B67DF882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544A2FED-01C2-4E51-B2E9-17DA58D59D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CB991C78-0CDA-4EA4-974A-7F9C4AD17A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F2223B87-F5C7-44FA-AC51-ECD4A48D23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A7B15DAC-C5DA-4494-BEBE-D9414F8B1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BE09D0F-04FA-4096-8B3C-68928B82F5C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5AB13E95-9C6D-440C-AF8F-7B0701A163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DC20A6A2-8E7C-4EE4-97DE-049E651ED3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4470626F-CB30-491F-AA34-C7EB576512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37F5FEF9-622E-47A5-BCCB-FD1C10E7B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D3E52A5A-D80C-4B6C-B024-DD97EF80F6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D8C40A7D-B9D8-4441-A456-1D87D7863E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5A32FE-A4DF-4887-BFEF-86DD96FD1A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A7E5AE53-8C74-4432-A81F-7246363C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D47D8F7-B11D-405E-A904-0A4D9851CE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1E9DB4A1-35A9-41F6-B24F-71062EADDE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278BA9F5-8B32-43E1-8BFD-92A6E100B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1DE8438-3731-4762-80A5-2F4CD04BEC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CC8DBA2F-F599-4C7B-AEAB-5D484C049D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991FDECA-EC49-4C97-B596-525F13B26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1FEC95A-3463-4E36-9B7C-2BEE32A123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CE496AF3-934D-4C1E-A3D1-2951C5E138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C3842B57-8E12-4A3A-A918-A75D75DD26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915D58B9-C616-4F18-A6AB-5C5CC547B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2A4901E1-A515-484F-89F2-4DBC13E87D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251ECC61-472D-4C13-8B8B-5766CBA6AC0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B2DC26BA-D1EA-4695-A65B-FB3A078E5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CA937126-71C4-401C-A01B-B3E2FDDF9A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1DFED897-53C1-4E30-83E5-AB4492766A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1C54AAA9-F8A7-413A-9C5E-352D17BB6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BD247AEE-40A9-4B70-9597-692D3FA94B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EE155F25-FFA0-4582-8A63-D1079B73D0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53B19CA6-EF59-4930-849C-E62320E14C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2CF87860-5D5F-402F-8140-7F3E962610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23F03F1A-8235-4BC4-B61E-D0285AE1F8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E4CA0ECA-51CE-4BB3-AA1A-047C6F54C7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3A6D58D3-C0E3-4F39-97C4-5FC30A4267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712B878-F03B-4DC6-A4DB-45A89B337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5A07B7D8-9B7F-4EDD-A857-21490C27FE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00C9736B-1478-4828-851F-F7C803D711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89623D5-04FF-4452-AE4D-A88A1B79877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7EBE6322-2C4D-41FD-AD70-825499ACBD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05E9DA31-4522-4106-A2E7-E07CA029AD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8B8374D6-767E-468A-9980-C4989B27F0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1EC4592E-80E7-4551-9041-44EAD4DBF0B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EBFCBEE9-3D71-4786-8589-ADCE19F9B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6D228FF0-AA75-4385-AE95-4D7EAFEAEA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E830F9E1-C4D2-40DD-8FB3-A4585877EE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17872BB1-B9FC-4BC2-8341-1BF996249C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DA66E372-5B44-4B03-8830-8A006A133EC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46381DED-B42C-446E-8B90-594977E7C6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E6FFDFC7-CE3B-4369-B780-2F88C10537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3173A60D-1946-4089-8F1F-B0E48A2BC0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3E5289B-03C2-433A-AFC2-B1772F9D77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6E0F216D-A563-4BD5-AA8F-F0230FBCD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33620F0D-49E2-47D4-8E60-A8459AE082D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C4302A31-629F-410D-B797-4D67BBD4C7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5B4750E-8B37-47DA-94E4-503D349F14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603611F5-FACB-4245-8613-9B9515FBEF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6E1F794E-8BA3-40AD-8E4C-BD6A6F5397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15C1C0E0-3CB0-466D-A2E3-C31699B039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6DE74E04-042B-481F-A13D-B433DD3F79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AD7E5A70-EAE3-4E88-970C-6DE73E97BC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3ECA1ACB-86C1-4C42-9E5B-31BA42F8D7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CD3CA8C1-0625-4B66-8712-53DD6090A2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8A645A1F-8DF7-4263-B86B-8A0A2A745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585B056B-645A-4434-9C8B-D520EC2923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38352B84-DDF7-45FF-8B6D-4749B5F78A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3A41D157-B37A-4643-A3CB-F9D3C7E443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42FACA0-B83E-49AE-ADC7-9AA0D50CB7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AF1577AC-A431-4CEB-A739-32D4EDA092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CE7F97B6-085A-43AE-85B5-0FFBB920F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4DED959E-6DFB-47C0-883D-C6399CE5A9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4655071A-84F7-4BCA-96AB-385CD9BE2D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B1D86D13-E11A-4261-8AB3-CA48B473ED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27DAFC02-F0B5-4217-916E-DCFAC24C43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DBD1B761-529B-4129-8636-8ED116A395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AB0D57B5-7563-4F67-A29E-0F800C19ED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BC61C289-DF97-4F7A-94AA-3D87608156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8AD102EA-AA2E-4494-A983-68D0A94A4B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22D44611-50AF-4CD1-AA29-6BFCC5D163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FA0F64A0-27DF-4CED-A490-DF28D51EA4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6553A4CC-9CFD-453F-BF3E-07D7639C09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FF32369-F3D6-4520-A2C2-A7DCBE1E77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1BC0A9B5-9AF7-4E6B-8980-31E602484C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7F8DC2D0-BCB5-4438-B6DC-5227E1B10D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ECCEF511-63DA-4471-9A39-375A3005D5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C519F078-4684-4451-82E0-733A0F80DA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7D77C18C-6648-4675-B95D-14FBACE8922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86D08FAB-63C8-4330-B77B-5F344FFE15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E1B3188-23F0-4CEB-B5A0-FE0EF19BF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7538820E-2950-4739-A6AD-71314A187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6522F836-F8C6-46F2-BAD6-4C59C6F351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8038DBC5-A697-40EB-8583-4AC2A7B3FF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E6B09480-F02B-4294-AE15-339ACDA770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87A89754-FD96-4A72-9F7A-085A472396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91603FA6-044C-4870-BD79-370322D4566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308AF79E-4B3D-48B8-8247-A0D680B767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43A54AD9-6FDF-4AE3-9A91-E8AA7F157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7A3C23E7-2C7D-4364-9B38-D1A152DE02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84F03553-DDFA-4884-A9B7-ED0D116601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01C15C67-2CFE-457F-BDF7-0FFCDC8143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9952D70D-1A23-4118-91A1-DFAFA9ED2D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28F1A387-F53E-42DE-BC0A-9174AC0028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98FDD873-BF3F-48EF-84A9-24116443FC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42D17678-F228-410C-85DB-98C9AEDE54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E3968F32-7B74-4CA1-BEB5-F2B005DC29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E36DC6E7-CF12-4765-9E49-7D3D6689EC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FA460914-37AB-4BB2-A66C-B075C3720A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EAE5C007-011A-4E9A-B42B-EEA3ABE378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01FF52F1-C2E3-42E9-8C8B-4096C3A457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BA813E1B-F9A0-4E9F-AB20-11DDDD907E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33DA6FF4-F3F4-433F-BF04-E28B9323AC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30209664-4676-4FF0-B11A-FA352BEBFD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5CF813E4-2045-44ED-9412-D3CA0B924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B026B052-17B0-4B78-9078-F0E9BB4631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DE98C3EC-CA18-4EE2-A20F-642617FE7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0F98563E-4E0C-479D-BF88-7FDF6B3F09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B7BEB1AC-9831-42F9-A468-86F4F96403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3C5910C0-3FE4-45A6-B99C-158105EA7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BA6A122B-97F9-443D-B5E8-3CCB2B1009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C655A8E0-A86A-44B2-850C-9E62E7337F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600DBD6F-9C7B-4F09-BCF5-4A8DADB0F3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D7F04A85-497B-498F-A622-6927B7FFF2C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D8EEB21D-C6F0-4C4E-A9F5-45649245CE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F4ED9AF-CBB2-4E0C-8329-B1A2F74A35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BFA108A0-876D-4DB5-A417-11AB0197CE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E738561E-9E5A-4976-9FBE-868A929D80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54CC3368-B98F-4F5A-A894-3EFED59BAB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460E4480-E572-4AAC-A434-E06D2115C9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B2BD4572-521D-4E84-9625-AA489B9EBD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0A32D4BD-D03F-4E5C-AF9E-1F32FC8FE0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0A39A79E-5EF8-46DF-AD8B-9622A4ABDB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76D6C5A-2C31-4B30-9074-6980877559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196E3EE3-C78C-4ACA-B432-2ADD4EDF307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CBF53872-D070-4556-BF6A-54B18B1DC6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41B08220-A7F7-47BF-831E-C05953F88A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4D5E2908-5C08-4B15-8D6D-34F8D42713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ED2EF28B-447E-494F-864D-03BDB22AF3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818BB1A-741D-4741-88D2-5CF8883DE1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AB971E22-0D80-4731-833F-EDCA982986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C776C0C2-67FC-460F-BFE9-FF8DB30EF5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3223D1BD-1F57-4714-827A-BB9E7741BD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E1C5D72F-B73E-499E-B77F-D5A6F039DD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09606600-5B61-49CB-A30F-6902F1EE59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5F4015B5-C7A1-4B06-9895-962BD3D260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9D768B34-415C-4FBD-B63E-83C6173045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A5630BA0-A636-4E1F-A3FC-CF3EBA01C9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9D0748E1-4E39-4A0B-80C9-732F83CE8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AC4BF0EB-501D-4ACD-83F1-3BAD7511CA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C5B052FF-B26E-4C6F-BE19-44A96A9950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D8F8FCC2-C90B-47CC-8805-524AAB6B87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9066DC91-0931-4EF7-BA5B-943A777A33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4CB424D0-F6FA-4981-A349-AFB8A390D4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82845551-4462-45B1-AFD6-B2CD939E38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3465C3B3-E265-4E0B-8259-F6E960B27C5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E2ECCF98-F7B4-430B-99B6-D62106415C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BA960EFA-1D2A-4D32-BC1C-FD67D0D043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7A117C9B-030A-4D6F-91C9-38EE6C290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2716FFC1-9FFF-45BD-84F8-586472D668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E3D9C7F6-6934-4027-AC85-995ECBCE8F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7B3DA2A1-29A9-4DA1-8CA0-418936E777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4F821938-D01A-4E20-8B9A-C58E96196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5CAAF9AD-CB64-4E21-98A9-398C9AEBBD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ADA4FADF-CD89-4D7A-BC34-FD4D1BC40C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DECC502C-EBF1-4382-B572-4A64362CC1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A04B4432-B5A5-4137-9BE8-CE717264A6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D6D4996B-274A-4E34-9049-9098BF0895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82E7D9B-09F7-4691-9895-B9F9659BAA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92C6D16C-47DA-4CA4-BD46-E3E234EEA2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158</xdr:row>
      <xdr:rowOff>0</xdr:rowOff>
    </xdr:from>
    <xdr:to>
      <xdr:col>1</xdr:col>
      <xdr:colOff>1409700</xdr:colOff>
      <xdr:row>158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B56AA2F0-9BA9-4A7B-B73A-41B6DBE2F2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Fernandez/Desktop/Licitaciones/Licitaciones%20con%20Hurtado/INAPA-CCC-LPN-2022-0030/1_Publicaciones/Oferta/Sobre%20B/DO1_CDOC_2145160.Hurt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Visible"/>
      <sheetName val="ANALISIS DE COSTO"/>
      <sheetName val="mano de obra"/>
      <sheetName val="MATERIALES"/>
      <sheetName val="ANALISIS DE PRECI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capilla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>
        <row r="11">
          <cell r="B11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MANT.TRANSITO"/>
      <sheetName val="INSUM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>
        <row r="4">
          <cell r="A4" t="str">
            <v>Id.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>
        <row r="4">
          <cell r="A4" t="str">
            <v>Id.</v>
          </cell>
        </row>
      </sheetData>
      <sheetData sheetId="75"/>
      <sheetData sheetId="76">
        <row r="4">
          <cell r="A4" t="str">
            <v>Id.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A4" t="str">
            <v>Id.</v>
          </cell>
        </row>
      </sheetData>
      <sheetData sheetId="85"/>
      <sheetData sheetId="86">
        <row r="4">
          <cell r="A4" t="str">
            <v>Id.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82"/>
  <sheetViews>
    <sheetView topLeftCell="B34" workbookViewId="0">
      <selection activeCell="E48" sqref="E48"/>
    </sheetView>
  </sheetViews>
  <sheetFormatPr baseColWidth="10" defaultColWidth="10.6640625" defaultRowHeight="13.2" x14ac:dyDescent="0.25"/>
  <cols>
    <col min="2" max="2" width="61" customWidth="1"/>
    <col min="3" max="3" width="10.5546875" customWidth="1"/>
    <col min="5" max="5" width="12.6640625" bestFit="1" customWidth="1"/>
    <col min="6" max="6" width="18.6640625" customWidth="1"/>
  </cols>
  <sheetData>
    <row r="3" spans="1:6" ht="15.6" x14ac:dyDescent="0.25">
      <c r="A3" s="508" t="s">
        <v>0</v>
      </c>
      <c r="B3" s="508"/>
      <c r="C3" s="508"/>
      <c r="D3" s="508"/>
      <c r="E3" s="508"/>
      <c r="F3" s="508"/>
    </row>
    <row r="4" spans="1:6" x14ac:dyDescent="0.25">
      <c r="A4" s="506" t="s">
        <v>1</v>
      </c>
      <c r="B4" s="507"/>
      <c r="C4" s="507"/>
      <c r="D4" s="507"/>
      <c r="E4" s="507"/>
      <c r="F4" s="507"/>
    </row>
    <row r="5" spans="1:6" x14ac:dyDescent="0.25">
      <c r="A5" s="2" t="s">
        <v>2</v>
      </c>
      <c r="B5" s="3"/>
      <c r="C5" s="3"/>
      <c r="D5" s="3"/>
      <c r="E5" s="4" t="s">
        <v>3</v>
      </c>
      <c r="F5" s="5"/>
    </row>
    <row r="6" spans="1:6" ht="13.8" thickBot="1" x14ac:dyDescent="0.3">
      <c r="A6" s="6"/>
      <c r="B6" s="7"/>
      <c r="C6" s="7"/>
      <c r="D6" s="8"/>
      <c r="E6" s="9"/>
      <c r="F6" s="10"/>
    </row>
    <row r="7" spans="1:6" x14ac:dyDescent="0.25">
      <c r="A7" s="218" t="s">
        <v>4</v>
      </c>
      <c r="B7" s="219" t="s">
        <v>5</v>
      </c>
      <c r="C7" s="220" t="s">
        <v>6</v>
      </c>
      <c r="D7" s="219" t="s">
        <v>7</v>
      </c>
      <c r="E7" s="221" t="s">
        <v>8</v>
      </c>
      <c r="F7" s="222" t="s">
        <v>9</v>
      </c>
    </row>
    <row r="8" spans="1:6" x14ac:dyDescent="0.25">
      <c r="A8" s="223"/>
      <c r="B8" s="45"/>
      <c r="C8" s="46"/>
      <c r="D8" s="45"/>
      <c r="E8" s="14"/>
      <c r="F8" s="224"/>
    </row>
    <row r="9" spans="1:6" x14ac:dyDescent="0.25">
      <c r="A9" s="223"/>
      <c r="B9" s="47"/>
      <c r="C9" s="48"/>
      <c r="D9" s="49"/>
      <c r="E9" s="15"/>
      <c r="F9" s="225"/>
    </row>
    <row r="10" spans="1:6" ht="24" customHeight="1" x14ac:dyDescent="0.25">
      <c r="A10" s="226" t="s">
        <v>10</v>
      </c>
      <c r="B10" s="51" t="s">
        <v>11</v>
      </c>
      <c r="C10" s="52"/>
      <c r="D10" s="53"/>
      <c r="E10" s="17"/>
      <c r="F10" s="227"/>
    </row>
    <row r="11" spans="1:6" x14ac:dyDescent="0.25">
      <c r="A11" s="226"/>
      <c r="B11" s="51"/>
      <c r="C11" s="52"/>
      <c r="D11" s="53"/>
      <c r="E11" s="17"/>
      <c r="F11" s="227"/>
    </row>
    <row r="12" spans="1:6" x14ac:dyDescent="0.25">
      <c r="A12" s="226">
        <v>1</v>
      </c>
      <c r="B12" s="51" t="s">
        <v>12</v>
      </c>
      <c r="C12" s="52"/>
      <c r="D12" s="53"/>
      <c r="E12" s="17"/>
      <c r="F12" s="227"/>
    </row>
    <row r="13" spans="1:6" ht="17.25" customHeight="1" x14ac:dyDescent="0.25">
      <c r="A13" s="228">
        <v>1.1000000000000001</v>
      </c>
      <c r="B13" s="55" t="s">
        <v>13</v>
      </c>
      <c r="C13" s="56">
        <v>1</v>
      </c>
      <c r="D13" s="57" t="s">
        <v>14</v>
      </c>
      <c r="E13" s="19">
        <v>15500</v>
      </c>
      <c r="F13" s="229">
        <f>+E13*C13</f>
        <v>15500</v>
      </c>
    </row>
    <row r="14" spans="1:6" x14ac:dyDescent="0.25">
      <c r="A14" s="228">
        <v>1.2</v>
      </c>
      <c r="B14" s="55" t="s">
        <v>15</v>
      </c>
      <c r="C14" s="56">
        <v>4</v>
      </c>
      <c r="D14" s="57" t="s">
        <v>16</v>
      </c>
      <c r="E14" s="19">
        <v>2846.85</v>
      </c>
      <c r="F14" s="229">
        <f t="shared" ref="F14:F77" si="0">+E14*C14</f>
        <v>11387.4</v>
      </c>
    </row>
    <row r="15" spans="1:6" x14ac:dyDescent="0.25">
      <c r="A15" s="228">
        <v>1.3</v>
      </c>
      <c r="B15" s="55" t="s">
        <v>17</v>
      </c>
      <c r="C15" s="56">
        <v>1</v>
      </c>
      <c r="D15" s="57" t="s">
        <v>14</v>
      </c>
      <c r="E15" s="19">
        <v>25000</v>
      </c>
      <c r="F15" s="229">
        <f t="shared" si="0"/>
        <v>25000</v>
      </c>
    </row>
    <row r="16" spans="1:6" x14ac:dyDescent="0.25">
      <c r="A16" s="226"/>
      <c r="B16" s="51"/>
      <c r="C16" s="52"/>
      <c r="D16" s="53"/>
      <c r="E16" s="17"/>
      <c r="F16" s="229"/>
    </row>
    <row r="17" spans="1:6" x14ac:dyDescent="0.25">
      <c r="A17" s="226">
        <v>2</v>
      </c>
      <c r="B17" s="58" t="s">
        <v>18</v>
      </c>
      <c r="C17" s="59"/>
      <c r="D17" s="60"/>
      <c r="E17" s="21"/>
      <c r="F17" s="229"/>
    </row>
    <row r="18" spans="1:6" x14ac:dyDescent="0.25">
      <c r="A18" s="228">
        <v>2.1</v>
      </c>
      <c r="B18" s="61" t="s">
        <v>19</v>
      </c>
      <c r="C18" s="62">
        <v>4</v>
      </c>
      <c r="D18" s="57" t="s">
        <v>16</v>
      </c>
      <c r="E18" s="1">
        <v>769.43209999999999</v>
      </c>
      <c r="F18" s="229">
        <f>ROUND(+E18*C18,2)</f>
        <v>3077.73</v>
      </c>
    </row>
    <row r="19" spans="1:6" x14ac:dyDescent="0.25">
      <c r="A19" s="226"/>
      <c r="B19" s="61"/>
      <c r="C19" s="62"/>
      <c r="D19" s="57"/>
      <c r="E19" s="1"/>
      <c r="F19" s="229"/>
    </row>
    <row r="20" spans="1:6" x14ac:dyDescent="0.25">
      <c r="A20" s="226">
        <v>3</v>
      </c>
      <c r="B20" s="63" t="s">
        <v>20</v>
      </c>
      <c r="C20" s="62"/>
      <c r="D20" s="57"/>
      <c r="E20" s="1"/>
      <c r="F20" s="229"/>
    </row>
    <row r="21" spans="1:6" x14ac:dyDescent="0.25">
      <c r="A21" s="228">
        <v>3.1</v>
      </c>
      <c r="B21" s="61" t="s">
        <v>21</v>
      </c>
      <c r="C21" s="62">
        <v>4</v>
      </c>
      <c r="D21" s="57" t="s">
        <v>16</v>
      </c>
      <c r="E21" s="1">
        <v>2100</v>
      </c>
      <c r="F21" s="229">
        <f t="shared" si="0"/>
        <v>8400</v>
      </c>
    </row>
    <row r="22" spans="1:6" x14ac:dyDescent="0.25">
      <c r="A22" s="228">
        <v>3.2</v>
      </c>
      <c r="B22" s="61" t="s">
        <v>22</v>
      </c>
      <c r="C22" s="62">
        <v>4</v>
      </c>
      <c r="D22" s="57" t="s">
        <v>16</v>
      </c>
      <c r="E22" s="1">
        <v>1694</v>
      </c>
      <c r="F22" s="229">
        <f t="shared" si="0"/>
        <v>6776</v>
      </c>
    </row>
    <row r="23" spans="1:6" x14ac:dyDescent="0.25">
      <c r="A23" s="226"/>
      <c r="B23" s="61"/>
      <c r="C23" s="62"/>
      <c r="D23" s="57"/>
      <c r="E23" s="1"/>
      <c r="F23" s="229"/>
    </row>
    <row r="24" spans="1:6" ht="26.4" x14ac:dyDescent="0.25">
      <c r="A24" s="230">
        <v>4</v>
      </c>
      <c r="B24" s="65" t="s">
        <v>23</v>
      </c>
      <c r="C24" s="66">
        <v>1</v>
      </c>
      <c r="D24" s="57" t="s">
        <v>24</v>
      </c>
      <c r="E24" s="19"/>
      <c r="F24" s="229"/>
    </row>
    <row r="25" spans="1:6" ht="21.75" customHeight="1" x14ac:dyDescent="0.25">
      <c r="A25" s="231">
        <v>4.0999999999999996</v>
      </c>
      <c r="B25" s="61" t="s">
        <v>25</v>
      </c>
      <c r="C25" s="68">
        <v>1</v>
      </c>
      <c r="D25" s="57" t="s">
        <v>24</v>
      </c>
      <c r="E25" s="19">
        <v>12937.6</v>
      </c>
      <c r="F25" s="229">
        <f t="shared" si="0"/>
        <v>12937.6</v>
      </c>
    </row>
    <row r="26" spans="1:6" ht="21" customHeight="1" x14ac:dyDescent="0.25">
      <c r="A26" s="231">
        <v>4.2</v>
      </c>
      <c r="B26" s="61" t="s">
        <v>26</v>
      </c>
      <c r="C26" s="69">
        <v>1</v>
      </c>
      <c r="D26" s="57" t="s">
        <v>24</v>
      </c>
      <c r="E26" s="19">
        <v>9081.0499999999993</v>
      </c>
      <c r="F26" s="229">
        <f t="shared" si="0"/>
        <v>9081.0499999999993</v>
      </c>
    </row>
    <row r="27" spans="1:6" ht="21.75" customHeight="1" x14ac:dyDescent="0.25">
      <c r="A27" s="231">
        <v>4.3</v>
      </c>
      <c r="B27" s="61" t="s">
        <v>27</v>
      </c>
      <c r="C27" s="69">
        <v>1</v>
      </c>
      <c r="D27" s="57" t="s">
        <v>24</v>
      </c>
      <c r="E27" s="19">
        <v>6718.6940000000004</v>
      </c>
      <c r="F27" s="229">
        <f t="shared" si="0"/>
        <v>6718.6940000000004</v>
      </c>
    </row>
    <row r="28" spans="1:6" ht="21" customHeight="1" x14ac:dyDescent="0.25">
      <c r="A28" s="231">
        <v>4.4000000000000004</v>
      </c>
      <c r="B28" s="70" t="s">
        <v>28</v>
      </c>
      <c r="C28" s="66">
        <v>1</v>
      </c>
      <c r="D28" s="57" t="s">
        <v>24</v>
      </c>
      <c r="E28" s="19">
        <v>7899.8739999999998</v>
      </c>
      <c r="F28" s="229">
        <f t="shared" si="0"/>
        <v>7899.8739999999998</v>
      </c>
    </row>
    <row r="29" spans="1:6" x14ac:dyDescent="0.25">
      <c r="A29" s="231">
        <v>4.5</v>
      </c>
      <c r="B29" s="61" t="s">
        <v>29</v>
      </c>
      <c r="C29" s="69">
        <v>2</v>
      </c>
      <c r="D29" s="57" t="s">
        <v>24</v>
      </c>
      <c r="E29" s="19">
        <v>7500</v>
      </c>
      <c r="F29" s="229">
        <f t="shared" si="0"/>
        <v>15000</v>
      </c>
    </row>
    <row r="30" spans="1:6" x14ac:dyDescent="0.25">
      <c r="A30" s="231">
        <v>4.5999999999999996</v>
      </c>
      <c r="B30" s="61" t="s">
        <v>30</v>
      </c>
      <c r="C30" s="69">
        <v>3</v>
      </c>
      <c r="D30" s="57" t="s">
        <v>24</v>
      </c>
      <c r="E30" s="19">
        <v>6500</v>
      </c>
      <c r="F30" s="229">
        <f t="shared" si="0"/>
        <v>19500</v>
      </c>
    </row>
    <row r="31" spans="1:6" ht="17.25" customHeight="1" x14ac:dyDescent="0.25">
      <c r="A31" s="231">
        <v>4.7</v>
      </c>
      <c r="B31" s="61" t="s">
        <v>31</v>
      </c>
      <c r="C31" s="69">
        <v>1</v>
      </c>
      <c r="D31" s="57" t="s">
        <v>24</v>
      </c>
      <c r="E31" s="19">
        <v>5500</v>
      </c>
      <c r="F31" s="229">
        <f t="shared" si="0"/>
        <v>5500</v>
      </c>
    </row>
    <row r="32" spans="1:6" x14ac:dyDescent="0.25">
      <c r="A32" s="231">
        <v>4.8</v>
      </c>
      <c r="B32" s="61" t="s">
        <v>32</v>
      </c>
      <c r="C32" s="69">
        <v>3</v>
      </c>
      <c r="D32" s="57" t="s">
        <v>24</v>
      </c>
      <c r="E32" s="19">
        <v>8750</v>
      </c>
      <c r="F32" s="229">
        <f t="shared" si="0"/>
        <v>26250</v>
      </c>
    </row>
    <row r="33" spans="1:9" x14ac:dyDescent="0.25">
      <c r="A33" s="231"/>
      <c r="B33" s="61"/>
      <c r="C33" s="69"/>
      <c r="D33" s="57"/>
      <c r="E33" s="19"/>
      <c r="F33" s="229"/>
    </row>
    <row r="34" spans="1:9" ht="26.4" x14ac:dyDescent="0.25">
      <c r="A34" s="232">
        <v>5</v>
      </c>
      <c r="B34" s="72" t="s">
        <v>33</v>
      </c>
      <c r="C34" s="69">
        <v>1</v>
      </c>
      <c r="D34" s="57" t="s">
        <v>24</v>
      </c>
      <c r="E34" s="19">
        <v>25000</v>
      </c>
      <c r="F34" s="229">
        <f t="shared" si="0"/>
        <v>25000</v>
      </c>
    </row>
    <row r="35" spans="1:9" x14ac:dyDescent="0.25">
      <c r="A35" s="232"/>
      <c r="B35" s="61"/>
      <c r="C35" s="69"/>
      <c r="D35" s="57"/>
      <c r="E35" s="19"/>
      <c r="F35" s="229"/>
    </row>
    <row r="36" spans="1:9" x14ac:dyDescent="0.25">
      <c r="A36" s="232">
        <v>6</v>
      </c>
      <c r="B36" s="61" t="s">
        <v>34</v>
      </c>
      <c r="C36" s="69">
        <v>1</v>
      </c>
      <c r="D36" s="57" t="s">
        <v>14</v>
      </c>
      <c r="E36" s="19">
        <v>32000</v>
      </c>
      <c r="F36" s="229">
        <f t="shared" si="0"/>
        <v>32000</v>
      </c>
    </row>
    <row r="37" spans="1:9" x14ac:dyDescent="0.25">
      <c r="A37" s="232"/>
      <c r="B37" s="61"/>
      <c r="C37" s="69"/>
      <c r="D37" s="57"/>
      <c r="E37" s="19"/>
      <c r="F37" s="229"/>
    </row>
    <row r="38" spans="1:9" x14ac:dyDescent="0.25">
      <c r="A38" s="232">
        <v>7</v>
      </c>
      <c r="B38" s="61" t="s">
        <v>35</v>
      </c>
      <c r="C38" s="69">
        <v>1</v>
      </c>
      <c r="D38" s="57" t="s">
        <v>24</v>
      </c>
      <c r="E38" s="19">
        <v>25000</v>
      </c>
      <c r="F38" s="229">
        <f t="shared" si="0"/>
        <v>25000</v>
      </c>
    </row>
    <row r="39" spans="1:9" x14ac:dyDescent="0.25">
      <c r="A39" s="233"/>
      <c r="B39" s="73" t="s">
        <v>36</v>
      </c>
      <c r="C39" s="74"/>
      <c r="D39" s="75"/>
      <c r="E39" s="22"/>
      <c r="F39" s="234">
        <f>SUM(F13:F38)</f>
        <v>255028.348</v>
      </c>
    </row>
    <row r="40" spans="1:9" x14ac:dyDescent="0.25">
      <c r="A40" s="235"/>
      <c r="B40" s="76"/>
      <c r="C40" s="66"/>
      <c r="D40" s="49"/>
      <c r="E40" s="19"/>
      <c r="F40" s="229"/>
    </row>
    <row r="41" spans="1:9" x14ac:dyDescent="0.25">
      <c r="A41" s="236" t="s">
        <v>37</v>
      </c>
      <c r="B41" s="78" t="s">
        <v>38</v>
      </c>
      <c r="C41" s="66"/>
      <c r="D41" s="49"/>
      <c r="E41" s="19"/>
      <c r="F41" s="229"/>
    </row>
    <row r="42" spans="1:9" x14ac:dyDescent="0.25">
      <c r="A42" s="235"/>
      <c r="B42" s="76"/>
      <c r="C42" s="66"/>
      <c r="D42" s="49"/>
      <c r="E42" s="19"/>
      <c r="F42" s="229"/>
    </row>
    <row r="43" spans="1:9" x14ac:dyDescent="0.25">
      <c r="A43" s="237">
        <v>1</v>
      </c>
      <c r="B43" s="80" t="s">
        <v>39</v>
      </c>
      <c r="C43" s="66">
        <v>21027</v>
      </c>
      <c r="D43" s="81" t="s">
        <v>40</v>
      </c>
      <c r="E43" s="19">
        <v>41.06</v>
      </c>
      <c r="F43" s="229">
        <v>863452.73</v>
      </c>
    </row>
    <row r="44" spans="1:9" x14ac:dyDescent="0.25">
      <c r="A44" s="238"/>
      <c r="B44" s="76"/>
      <c r="C44" s="66"/>
      <c r="D44" s="81"/>
      <c r="E44" s="19"/>
      <c r="F44" s="229"/>
    </row>
    <row r="45" spans="1:9" x14ac:dyDescent="0.25">
      <c r="A45" s="239">
        <v>2</v>
      </c>
      <c r="B45" s="84" t="s">
        <v>41</v>
      </c>
      <c r="C45" s="66"/>
      <c r="D45" s="85"/>
      <c r="E45" s="19"/>
      <c r="F45" s="229"/>
    </row>
    <row r="46" spans="1:9" x14ac:dyDescent="0.25">
      <c r="A46" s="240">
        <v>2.1</v>
      </c>
      <c r="B46" s="87" t="s">
        <v>42</v>
      </c>
      <c r="C46" s="56">
        <v>27648</v>
      </c>
      <c r="D46" s="81" t="s">
        <v>40</v>
      </c>
      <c r="E46" s="19">
        <v>33.71</v>
      </c>
      <c r="F46" s="229">
        <v>931895.59</v>
      </c>
      <c r="H46" s="471">
        <f>+F46+'Presupuesto Equilibrio Economc'!F208</f>
        <v>942299.13742857135</v>
      </c>
    </row>
    <row r="47" spans="1:9" ht="13.8" x14ac:dyDescent="0.25">
      <c r="A47" s="228">
        <v>2.2000000000000002</v>
      </c>
      <c r="B47" s="87" t="s">
        <v>43</v>
      </c>
      <c r="C47" s="56">
        <v>10368</v>
      </c>
      <c r="D47" s="57" t="s">
        <v>44</v>
      </c>
      <c r="E47" s="19">
        <f>+'Analisis presupuesto base'!H129</f>
        <v>39.742666666666665</v>
      </c>
      <c r="F47" s="229">
        <f>+E47*C47</f>
        <v>412051.96799999999</v>
      </c>
      <c r="H47" s="471">
        <f>+F47+'Presupuesto Equilibrio Economc'!F209</f>
        <v>481465.03680000006</v>
      </c>
      <c r="I47">
        <f>+'Presupuesto Actual compl'!F48</f>
        <v>942299.13742857135</v>
      </c>
    </row>
    <row r="48" spans="1:9" ht="13.8" x14ac:dyDescent="0.25">
      <c r="A48" s="240">
        <v>2.2999999999999998</v>
      </c>
      <c r="B48" s="87" t="s">
        <v>45</v>
      </c>
      <c r="C48" s="56">
        <v>673.92</v>
      </c>
      <c r="D48" s="57" t="s">
        <v>46</v>
      </c>
      <c r="E48" s="19">
        <v>168.85</v>
      </c>
      <c r="F48" s="229">
        <v>113791.64</v>
      </c>
    </row>
    <row r="49" spans="1:6" x14ac:dyDescent="0.25">
      <c r="A49" s="241"/>
      <c r="B49" s="88"/>
      <c r="C49" s="66"/>
      <c r="D49" s="85"/>
      <c r="E49" s="19"/>
      <c r="F49" s="229"/>
    </row>
    <row r="50" spans="1:6" x14ac:dyDescent="0.25">
      <c r="A50" s="242">
        <v>3</v>
      </c>
      <c r="B50" s="89" t="s">
        <v>47</v>
      </c>
      <c r="C50" s="90"/>
      <c r="D50" s="91"/>
      <c r="E50" s="23"/>
      <c r="F50" s="229"/>
    </row>
    <row r="51" spans="1:6" ht="15.6" x14ac:dyDescent="0.25">
      <c r="A51" s="241">
        <v>3.1</v>
      </c>
      <c r="B51" s="63" t="s">
        <v>48</v>
      </c>
      <c r="C51" s="66"/>
      <c r="D51" s="85"/>
      <c r="E51" s="19"/>
      <c r="F51" s="229"/>
    </row>
    <row r="52" spans="1:6" ht="13.8" x14ac:dyDescent="0.25">
      <c r="A52" s="243" t="s">
        <v>49</v>
      </c>
      <c r="B52" s="61" t="s">
        <v>50</v>
      </c>
      <c r="C52" s="66">
        <v>11203.06</v>
      </c>
      <c r="D52" s="57" t="s">
        <v>46</v>
      </c>
      <c r="E52" s="19">
        <v>82.2</v>
      </c>
      <c r="F52" s="229">
        <v>920946.26</v>
      </c>
    </row>
    <row r="53" spans="1:6" ht="13.8" x14ac:dyDescent="0.25">
      <c r="A53" s="243" t="s">
        <v>51</v>
      </c>
      <c r="B53" s="61" t="s">
        <v>52</v>
      </c>
      <c r="C53" s="66">
        <v>4801.3100000000004</v>
      </c>
      <c r="D53" s="57" t="s">
        <v>46</v>
      </c>
      <c r="E53" s="19">
        <v>466.69</v>
      </c>
      <c r="F53" s="229">
        <v>2240737.08</v>
      </c>
    </row>
    <row r="54" spans="1:6" ht="13.8" x14ac:dyDescent="0.25">
      <c r="A54" s="243" t="s">
        <v>53</v>
      </c>
      <c r="B54" s="87" t="s">
        <v>54</v>
      </c>
      <c r="C54" s="66">
        <v>15770.25</v>
      </c>
      <c r="D54" s="57" t="s">
        <v>44</v>
      </c>
      <c r="E54" s="24">
        <v>75</v>
      </c>
      <c r="F54" s="229">
        <f t="shared" si="0"/>
        <v>1182768.75</v>
      </c>
    </row>
    <row r="55" spans="1:6" ht="13.8" x14ac:dyDescent="0.25">
      <c r="A55" s="243" t="s">
        <v>55</v>
      </c>
      <c r="B55" s="93" t="s">
        <v>56</v>
      </c>
      <c r="C55" s="66">
        <v>1293.6199999999999</v>
      </c>
      <c r="D55" s="57" t="s">
        <v>46</v>
      </c>
      <c r="E55" s="19">
        <v>800</v>
      </c>
      <c r="F55" s="229">
        <f t="shared" si="0"/>
        <v>1034895.9999999999</v>
      </c>
    </row>
    <row r="56" spans="1:6" ht="13.8" x14ac:dyDescent="0.25">
      <c r="A56" s="243" t="s">
        <v>57</v>
      </c>
      <c r="B56" s="61" t="s">
        <v>58</v>
      </c>
      <c r="C56" s="94">
        <v>5761.57</v>
      </c>
      <c r="D56" s="57" t="s">
        <v>46</v>
      </c>
      <c r="E56" s="25">
        <v>580.94000000000005</v>
      </c>
      <c r="F56" s="229">
        <v>3347133.04</v>
      </c>
    </row>
    <row r="57" spans="1:6" ht="26.4" x14ac:dyDescent="0.25">
      <c r="A57" s="243" t="s">
        <v>59</v>
      </c>
      <c r="B57" s="72" t="s">
        <v>60</v>
      </c>
      <c r="C57" s="95">
        <v>13808.54</v>
      </c>
      <c r="D57" s="96" t="s">
        <v>61</v>
      </c>
      <c r="E57" s="26">
        <v>226.03</v>
      </c>
      <c r="F57" s="229">
        <v>3121151.4</v>
      </c>
    </row>
    <row r="58" spans="1:6" ht="26.4" x14ac:dyDescent="0.25">
      <c r="A58" s="243" t="s">
        <v>62</v>
      </c>
      <c r="B58" s="72" t="s">
        <v>63</v>
      </c>
      <c r="C58" s="97">
        <v>8876.7000000000007</v>
      </c>
      <c r="D58" s="98" t="s">
        <v>46</v>
      </c>
      <c r="E58" s="26">
        <v>223.97</v>
      </c>
      <c r="F58" s="229">
        <v>1988121.99</v>
      </c>
    </row>
    <row r="59" spans="1:6" x14ac:dyDescent="0.25">
      <c r="A59" s="244"/>
      <c r="B59" s="76"/>
      <c r="C59" s="100"/>
      <c r="D59" s="81"/>
      <c r="E59" s="17"/>
      <c r="F59" s="229"/>
    </row>
    <row r="60" spans="1:6" x14ac:dyDescent="0.25">
      <c r="A60" s="244"/>
      <c r="B60" s="76"/>
      <c r="C60" s="100"/>
      <c r="D60" s="81"/>
      <c r="E60" s="17"/>
      <c r="F60" s="229"/>
    </row>
    <row r="61" spans="1:6" x14ac:dyDescent="0.25">
      <c r="A61" s="245">
        <v>4</v>
      </c>
      <c r="B61" s="80" t="s">
        <v>64</v>
      </c>
      <c r="C61" s="100"/>
      <c r="D61" s="81"/>
      <c r="E61" s="17"/>
      <c r="F61" s="229"/>
    </row>
    <row r="62" spans="1:6" x14ac:dyDescent="0.25">
      <c r="A62" s="246">
        <v>4.0999999999999996</v>
      </c>
      <c r="B62" s="103" t="s">
        <v>65</v>
      </c>
      <c r="C62" s="66">
        <v>1339</v>
      </c>
      <c r="D62" s="81" t="s">
        <v>40</v>
      </c>
      <c r="E62" s="25">
        <v>1576.7</v>
      </c>
      <c r="F62" s="229">
        <v>2111198.02</v>
      </c>
    </row>
    <row r="63" spans="1:6" x14ac:dyDescent="0.25">
      <c r="A63" s="246">
        <v>4.2</v>
      </c>
      <c r="B63" s="103" t="s">
        <v>66</v>
      </c>
      <c r="C63" s="66">
        <v>1287.5</v>
      </c>
      <c r="D63" s="81" t="s">
        <v>40</v>
      </c>
      <c r="E63" s="19">
        <v>1490</v>
      </c>
      <c r="F63" s="229">
        <v>1918375</v>
      </c>
    </row>
    <row r="64" spans="1:6" x14ac:dyDescent="0.25">
      <c r="A64" s="246">
        <v>4.3</v>
      </c>
      <c r="B64" s="103" t="s">
        <v>67</v>
      </c>
      <c r="C64" s="66">
        <v>7456.2</v>
      </c>
      <c r="D64" s="81" t="s">
        <v>40</v>
      </c>
      <c r="E64" s="19">
        <v>1313</v>
      </c>
      <c r="F64" s="229">
        <f t="shared" si="0"/>
        <v>9789990.5999999996</v>
      </c>
    </row>
    <row r="65" spans="1:6" x14ac:dyDescent="0.25">
      <c r="A65" s="246">
        <v>4.4000000000000004</v>
      </c>
      <c r="B65" s="103" t="s">
        <v>68</v>
      </c>
      <c r="C65" s="66">
        <v>11390.34</v>
      </c>
      <c r="D65" s="81" t="s">
        <v>40</v>
      </c>
      <c r="E65" s="19">
        <v>1189.0999999999999</v>
      </c>
      <c r="F65" s="229">
        <f t="shared" si="0"/>
        <v>13544253.294</v>
      </c>
    </row>
    <row r="66" spans="1:6" x14ac:dyDescent="0.25">
      <c r="A66" s="247"/>
      <c r="B66" s="76"/>
      <c r="C66" s="66"/>
      <c r="D66" s="81"/>
      <c r="E66" s="19"/>
      <c r="F66" s="229"/>
    </row>
    <row r="67" spans="1:6" x14ac:dyDescent="0.25">
      <c r="A67" s="245">
        <v>5</v>
      </c>
      <c r="B67" s="80" t="s">
        <v>69</v>
      </c>
      <c r="C67" s="66"/>
      <c r="D67" s="81"/>
      <c r="E67" s="19"/>
      <c r="F67" s="229"/>
    </row>
    <row r="68" spans="1:6" x14ac:dyDescent="0.25">
      <c r="A68" s="246">
        <v>5.0999999999999996</v>
      </c>
      <c r="B68" s="103" t="s">
        <v>70</v>
      </c>
      <c r="C68" s="66">
        <v>1300</v>
      </c>
      <c r="D68" s="81" t="s">
        <v>40</v>
      </c>
      <c r="E68" s="19">
        <v>75</v>
      </c>
      <c r="F68" s="229">
        <f t="shared" si="0"/>
        <v>97500</v>
      </c>
    </row>
    <row r="69" spans="1:6" x14ac:dyDescent="0.25">
      <c r="A69" s="246">
        <v>5.2</v>
      </c>
      <c r="B69" s="103" t="s">
        <v>71</v>
      </c>
      <c r="C69" s="66">
        <v>1250</v>
      </c>
      <c r="D69" s="81" t="s">
        <v>40</v>
      </c>
      <c r="E69" s="19">
        <v>70.61</v>
      </c>
      <c r="F69" s="229">
        <f t="shared" si="0"/>
        <v>88262.5</v>
      </c>
    </row>
    <row r="70" spans="1:6" x14ac:dyDescent="0.25">
      <c r="A70" s="246">
        <v>5.3</v>
      </c>
      <c r="B70" s="103" t="s">
        <v>72</v>
      </c>
      <c r="C70" s="66">
        <v>7310</v>
      </c>
      <c r="D70" s="81" t="s">
        <v>40</v>
      </c>
      <c r="E70" s="19">
        <v>63</v>
      </c>
      <c r="F70" s="229">
        <f t="shared" si="0"/>
        <v>460530</v>
      </c>
    </row>
    <row r="71" spans="1:6" x14ac:dyDescent="0.25">
      <c r="A71" s="246">
        <v>5.4</v>
      </c>
      <c r="B71" s="103" t="s">
        <v>73</v>
      </c>
      <c r="C71" s="66">
        <v>11167</v>
      </c>
      <c r="D71" s="81" t="s">
        <v>40</v>
      </c>
      <c r="E71" s="19">
        <v>55</v>
      </c>
      <c r="F71" s="229">
        <f t="shared" si="0"/>
        <v>614185</v>
      </c>
    </row>
    <row r="72" spans="1:6" x14ac:dyDescent="0.25">
      <c r="A72" s="246"/>
      <c r="B72" s="103"/>
      <c r="C72" s="66"/>
      <c r="D72" s="81"/>
      <c r="E72" s="19"/>
      <c r="F72" s="229"/>
    </row>
    <row r="73" spans="1:6" x14ac:dyDescent="0.25">
      <c r="A73" s="248">
        <v>6</v>
      </c>
      <c r="B73" s="63" t="s">
        <v>74</v>
      </c>
      <c r="C73" s="66"/>
      <c r="D73" s="81"/>
      <c r="E73" s="19"/>
      <c r="F73" s="229"/>
    </row>
    <row r="74" spans="1:6" x14ac:dyDescent="0.25">
      <c r="A74" s="246">
        <v>6.1</v>
      </c>
      <c r="B74" s="103" t="s">
        <v>70</v>
      </c>
      <c r="C74" s="66">
        <v>1300</v>
      </c>
      <c r="D74" s="81" t="s">
        <v>40</v>
      </c>
      <c r="E74" s="19">
        <v>35</v>
      </c>
      <c r="F74" s="229">
        <f t="shared" si="0"/>
        <v>45500</v>
      </c>
    </row>
    <row r="75" spans="1:6" x14ac:dyDescent="0.25">
      <c r="A75" s="246">
        <v>6.2</v>
      </c>
      <c r="B75" s="103" t="s">
        <v>71</v>
      </c>
      <c r="C75" s="66">
        <v>1250</v>
      </c>
      <c r="D75" s="81" t="s">
        <v>40</v>
      </c>
      <c r="E75" s="19">
        <v>30</v>
      </c>
      <c r="F75" s="229">
        <f t="shared" si="0"/>
        <v>37500</v>
      </c>
    </row>
    <row r="76" spans="1:6" x14ac:dyDescent="0.25">
      <c r="A76" s="246">
        <v>6.3</v>
      </c>
      <c r="B76" s="103" t="s">
        <v>72</v>
      </c>
      <c r="C76" s="66">
        <v>7310</v>
      </c>
      <c r="D76" s="81" t="s">
        <v>40</v>
      </c>
      <c r="E76" s="19">
        <v>25</v>
      </c>
      <c r="F76" s="229">
        <f t="shared" si="0"/>
        <v>182750</v>
      </c>
    </row>
    <row r="77" spans="1:6" x14ac:dyDescent="0.25">
      <c r="A77" s="246">
        <v>6.4</v>
      </c>
      <c r="B77" s="103" t="s">
        <v>73</v>
      </c>
      <c r="C77" s="66">
        <v>11167</v>
      </c>
      <c r="D77" s="81" t="s">
        <v>40</v>
      </c>
      <c r="E77" s="19">
        <v>20</v>
      </c>
      <c r="F77" s="229">
        <f t="shared" si="0"/>
        <v>223340</v>
      </c>
    </row>
    <row r="78" spans="1:6" x14ac:dyDescent="0.25">
      <c r="A78" s="246"/>
      <c r="B78" s="103"/>
      <c r="C78" s="66"/>
      <c r="D78" s="81"/>
      <c r="E78" s="19"/>
      <c r="F78" s="229"/>
    </row>
    <row r="79" spans="1:6" x14ac:dyDescent="0.25">
      <c r="A79" s="249">
        <v>7</v>
      </c>
      <c r="B79" s="65" t="s">
        <v>75</v>
      </c>
      <c r="C79" s="66"/>
      <c r="D79" s="81"/>
      <c r="E79" s="27"/>
      <c r="F79" s="229"/>
    </row>
    <row r="80" spans="1:6" x14ac:dyDescent="0.25">
      <c r="A80" s="249">
        <v>7.1</v>
      </c>
      <c r="B80" s="65" t="s">
        <v>76</v>
      </c>
      <c r="C80" s="66"/>
      <c r="D80" s="81"/>
      <c r="E80" s="27"/>
      <c r="F80" s="229"/>
    </row>
    <row r="81" spans="1:6" x14ac:dyDescent="0.25">
      <c r="A81" s="250" t="s">
        <v>77</v>
      </c>
      <c r="B81" s="61" t="s">
        <v>78</v>
      </c>
      <c r="C81" s="69">
        <v>1</v>
      </c>
      <c r="D81" s="57" t="s">
        <v>24</v>
      </c>
      <c r="E81" s="24">
        <v>5537.51</v>
      </c>
      <c r="F81" s="229">
        <f t="shared" ref="F81:F139" si="1">+E81*C81</f>
        <v>5537.51</v>
      </c>
    </row>
    <row r="82" spans="1:6" x14ac:dyDescent="0.25">
      <c r="A82" s="250" t="s">
        <v>79</v>
      </c>
      <c r="B82" s="61" t="s">
        <v>80</v>
      </c>
      <c r="C82" s="69">
        <v>1</v>
      </c>
      <c r="D82" s="57" t="s">
        <v>24</v>
      </c>
      <c r="E82" s="24">
        <v>5537.51</v>
      </c>
      <c r="F82" s="229">
        <f t="shared" si="1"/>
        <v>5537.51</v>
      </c>
    </row>
    <row r="83" spans="1:6" x14ac:dyDescent="0.25">
      <c r="A83" s="250" t="s">
        <v>81</v>
      </c>
      <c r="B83" s="61" t="s">
        <v>82</v>
      </c>
      <c r="C83" s="69">
        <v>3</v>
      </c>
      <c r="D83" s="57" t="s">
        <v>24</v>
      </c>
      <c r="E83" s="24">
        <v>5537.51</v>
      </c>
      <c r="F83" s="229">
        <f t="shared" si="1"/>
        <v>16612.53</v>
      </c>
    </row>
    <row r="84" spans="1:6" x14ac:dyDescent="0.25">
      <c r="A84" s="250" t="s">
        <v>83</v>
      </c>
      <c r="B84" s="61" t="s">
        <v>26</v>
      </c>
      <c r="C84" s="69">
        <v>5</v>
      </c>
      <c r="D84" s="57" t="s">
        <v>24</v>
      </c>
      <c r="E84" s="24">
        <v>5537.51</v>
      </c>
      <c r="F84" s="229">
        <f t="shared" si="1"/>
        <v>27687.550000000003</v>
      </c>
    </row>
    <row r="85" spans="1:6" x14ac:dyDescent="0.25">
      <c r="A85" s="250" t="s">
        <v>84</v>
      </c>
      <c r="B85" s="61" t="s">
        <v>85</v>
      </c>
      <c r="C85" s="69">
        <v>2</v>
      </c>
      <c r="D85" s="57" t="s">
        <v>24</v>
      </c>
      <c r="E85" s="24">
        <v>5537.51</v>
      </c>
      <c r="F85" s="229">
        <f t="shared" si="1"/>
        <v>11075.02</v>
      </c>
    </row>
    <row r="86" spans="1:6" x14ac:dyDescent="0.25">
      <c r="A86" s="250" t="s">
        <v>86</v>
      </c>
      <c r="B86" s="61" t="s">
        <v>87</v>
      </c>
      <c r="C86" s="69">
        <v>2</v>
      </c>
      <c r="D86" s="57" t="s">
        <v>24</v>
      </c>
      <c r="E86" s="24">
        <v>5537.51</v>
      </c>
      <c r="F86" s="229">
        <f t="shared" si="1"/>
        <v>11075.02</v>
      </c>
    </row>
    <row r="87" spans="1:6" x14ac:dyDescent="0.25">
      <c r="A87" s="250" t="s">
        <v>88</v>
      </c>
      <c r="B87" s="61" t="s">
        <v>89</v>
      </c>
      <c r="C87" s="69">
        <v>2</v>
      </c>
      <c r="D87" s="57" t="s">
        <v>24</v>
      </c>
      <c r="E87" s="24">
        <v>5537.51</v>
      </c>
      <c r="F87" s="229">
        <f t="shared" si="1"/>
        <v>11075.02</v>
      </c>
    </row>
    <row r="88" spans="1:6" x14ac:dyDescent="0.25">
      <c r="A88" s="250" t="s">
        <v>90</v>
      </c>
      <c r="B88" s="61" t="s">
        <v>91</v>
      </c>
      <c r="C88" s="66">
        <v>1</v>
      </c>
      <c r="D88" s="57" t="s">
        <v>24</v>
      </c>
      <c r="E88" s="24">
        <v>5537.51</v>
      </c>
      <c r="F88" s="229">
        <f t="shared" si="1"/>
        <v>5537.51</v>
      </c>
    </row>
    <row r="89" spans="1:6" x14ac:dyDescent="0.25">
      <c r="A89" s="250" t="s">
        <v>92</v>
      </c>
      <c r="B89" s="61" t="s">
        <v>93</v>
      </c>
      <c r="C89" s="66">
        <v>5</v>
      </c>
      <c r="D89" s="57" t="s">
        <v>24</v>
      </c>
      <c r="E89" s="24">
        <v>5537.51</v>
      </c>
      <c r="F89" s="229">
        <f t="shared" si="1"/>
        <v>27687.550000000003</v>
      </c>
    </row>
    <row r="90" spans="1:6" x14ac:dyDescent="0.25">
      <c r="A90" s="250" t="s">
        <v>94</v>
      </c>
      <c r="B90" s="61" t="s">
        <v>95</v>
      </c>
      <c r="C90" s="66">
        <v>1</v>
      </c>
      <c r="D90" s="57" t="s">
        <v>24</v>
      </c>
      <c r="E90" s="24">
        <v>5537.51</v>
      </c>
      <c r="F90" s="229">
        <f t="shared" si="1"/>
        <v>5537.51</v>
      </c>
    </row>
    <row r="91" spans="1:6" x14ac:dyDescent="0.25">
      <c r="A91" s="250" t="s">
        <v>96</v>
      </c>
      <c r="B91" s="61" t="s">
        <v>97</v>
      </c>
      <c r="C91" s="66">
        <v>1</v>
      </c>
      <c r="D91" s="57" t="s">
        <v>24</v>
      </c>
      <c r="E91" s="24">
        <v>5537.51</v>
      </c>
      <c r="F91" s="229">
        <f t="shared" si="1"/>
        <v>5537.51</v>
      </c>
    </row>
    <row r="92" spans="1:6" x14ac:dyDescent="0.25">
      <c r="A92" s="250" t="s">
        <v>98</v>
      </c>
      <c r="B92" s="61" t="s">
        <v>99</v>
      </c>
      <c r="C92" s="66">
        <v>1</v>
      </c>
      <c r="D92" s="57" t="s">
        <v>24</v>
      </c>
      <c r="E92" s="24">
        <v>5537.51</v>
      </c>
      <c r="F92" s="229">
        <f t="shared" si="1"/>
        <v>5537.51</v>
      </c>
    </row>
    <row r="93" spans="1:6" x14ac:dyDescent="0.25">
      <c r="A93" s="250" t="s">
        <v>100</v>
      </c>
      <c r="B93" s="61" t="s">
        <v>101</v>
      </c>
      <c r="C93" s="66">
        <v>1</v>
      </c>
      <c r="D93" s="57" t="s">
        <v>24</v>
      </c>
      <c r="E93" s="24">
        <v>5537.51</v>
      </c>
      <c r="F93" s="229">
        <f t="shared" si="1"/>
        <v>5537.51</v>
      </c>
    </row>
    <row r="94" spans="1:6" x14ac:dyDescent="0.25">
      <c r="A94" s="251" t="s">
        <v>102</v>
      </c>
      <c r="B94" s="109" t="s">
        <v>103</v>
      </c>
      <c r="C94" s="90">
        <v>2</v>
      </c>
      <c r="D94" s="110" t="s">
        <v>24</v>
      </c>
      <c r="E94" s="24">
        <v>5537.51</v>
      </c>
      <c r="F94" s="229">
        <f t="shared" si="1"/>
        <v>11075.02</v>
      </c>
    </row>
    <row r="95" spans="1:6" x14ac:dyDescent="0.25">
      <c r="A95" s="250"/>
      <c r="B95" s="61"/>
      <c r="C95" s="69"/>
      <c r="D95" s="57"/>
      <c r="E95" s="24"/>
      <c r="F95" s="229"/>
    </row>
    <row r="96" spans="1:6" x14ac:dyDescent="0.25">
      <c r="A96" s="252">
        <v>7.2</v>
      </c>
      <c r="B96" s="65" t="s">
        <v>104</v>
      </c>
      <c r="C96" s="69"/>
      <c r="D96" s="57"/>
      <c r="E96" s="24"/>
      <c r="F96" s="229"/>
    </row>
    <row r="97" spans="1:6" x14ac:dyDescent="0.25">
      <c r="A97" s="250" t="s">
        <v>105</v>
      </c>
      <c r="B97" s="61" t="s">
        <v>106</v>
      </c>
      <c r="C97" s="69">
        <v>7</v>
      </c>
      <c r="D97" s="57" t="s">
        <v>24</v>
      </c>
      <c r="E97" s="24">
        <v>5537.51</v>
      </c>
      <c r="F97" s="229">
        <f t="shared" si="1"/>
        <v>38762.57</v>
      </c>
    </row>
    <row r="98" spans="1:6" x14ac:dyDescent="0.25">
      <c r="A98" s="250" t="s">
        <v>107</v>
      </c>
      <c r="B98" s="61" t="s">
        <v>108</v>
      </c>
      <c r="C98" s="69">
        <v>3</v>
      </c>
      <c r="D98" s="57" t="s">
        <v>24</v>
      </c>
      <c r="E98" s="24">
        <v>5537.51</v>
      </c>
      <c r="F98" s="229">
        <f t="shared" si="1"/>
        <v>16612.53</v>
      </c>
    </row>
    <row r="99" spans="1:6" x14ac:dyDescent="0.25">
      <c r="A99" s="250" t="s">
        <v>109</v>
      </c>
      <c r="B99" s="61" t="s">
        <v>110</v>
      </c>
      <c r="C99" s="69">
        <v>10</v>
      </c>
      <c r="D99" s="57" t="s">
        <v>24</v>
      </c>
      <c r="E99" s="24">
        <v>5537.51</v>
      </c>
      <c r="F99" s="229">
        <f t="shared" si="1"/>
        <v>55375.100000000006</v>
      </c>
    </row>
    <row r="100" spans="1:6" x14ac:dyDescent="0.25">
      <c r="A100" s="250" t="s">
        <v>111</v>
      </c>
      <c r="B100" s="61" t="s">
        <v>112</v>
      </c>
      <c r="C100" s="69">
        <v>18</v>
      </c>
      <c r="D100" s="57" t="s">
        <v>24</v>
      </c>
      <c r="E100" s="24">
        <v>5537.51</v>
      </c>
      <c r="F100" s="229">
        <f t="shared" si="1"/>
        <v>99675.180000000008</v>
      </c>
    </row>
    <row r="101" spans="1:6" x14ac:dyDescent="0.25">
      <c r="A101" s="250" t="s">
        <v>113</v>
      </c>
      <c r="B101" s="61" t="s">
        <v>114</v>
      </c>
      <c r="C101" s="66">
        <v>35</v>
      </c>
      <c r="D101" s="57" t="s">
        <v>24</v>
      </c>
      <c r="E101" s="24">
        <v>5537.51</v>
      </c>
      <c r="F101" s="229">
        <f t="shared" si="1"/>
        <v>193812.85</v>
      </c>
    </row>
    <row r="102" spans="1:6" x14ac:dyDescent="0.25">
      <c r="A102" s="250" t="s">
        <v>115</v>
      </c>
      <c r="B102" s="61" t="s">
        <v>116</v>
      </c>
      <c r="C102" s="56">
        <v>4</v>
      </c>
      <c r="D102" s="57" t="s">
        <v>24</v>
      </c>
      <c r="E102" s="24">
        <v>5537.51</v>
      </c>
      <c r="F102" s="229">
        <f t="shared" si="1"/>
        <v>22150.04</v>
      </c>
    </row>
    <row r="103" spans="1:6" x14ac:dyDescent="0.25">
      <c r="A103" s="250" t="s">
        <v>117</v>
      </c>
      <c r="B103" s="61" t="s">
        <v>118</v>
      </c>
      <c r="C103" s="56">
        <v>41</v>
      </c>
      <c r="D103" s="57" t="s">
        <v>24</v>
      </c>
      <c r="E103" s="24">
        <v>5537.51</v>
      </c>
      <c r="F103" s="229">
        <f t="shared" si="1"/>
        <v>227037.91</v>
      </c>
    </row>
    <row r="104" spans="1:6" x14ac:dyDescent="0.25">
      <c r="A104" s="250" t="s">
        <v>119</v>
      </c>
      <c r="B104" s="61" t="s">
        <v>120</v>
      </c>
      <c r="C104" s="56">
        <v>44</v>
      </c>
      <c r="D104" s="57" t="s">
        <v>24</v>
      </c>
      <c r="E104" s="24">
        <v>5537.51</v>
      </c>
      <c r="F104" s="229">
        <f t="shared" si="1"/>
        <v>243650.44</v>
      </c>
    </row>
    <row r="105" spans="1:6" x14ac:dyDescent="0.25">
      <c r="A105" s="250" t="s">
        <v>121</v>
      </c>
      <c r="B105" s="61" t="s">
        <v>122</v>
      </c>
      <c r="C105" s="69">
        <v>15</v>
      </c>
      <c r="D105" s="57" t="s">
        <v>24</v>
      </c>
      <c r="E105" s="24">
        <v>5537.51</v>
      </c>
      <c r="F105" s="229">
        <f t="shared" si="1"/>
        <v>83062.650000000009</v>
      </c>
    </row>
    <row r="106" spans="1:6" ht="13.8" x14ac:dyDescent="0.25">
      <c r="A106" s="250" t="s">
        <v>123</v>
      </c>
      <c r="B106" s="61" t="s">
        <v>124</v>
      </c>
      <c r="C106" s="69">
        <v>46</v>
      </c>
      <c r="D106" s="57" t="s">
        <v>24</v>
      </c>
      <c r="E106" s="24">
        <v>1500</v>
      </c>
      <c r="F106" s="229">
        <f t="shared" si="1"/>
        <v>69000</v>
      </c>
    </row>
    <row r="107" spans="1:6" x14ac:dyDescent="0.25">
      <c r="A107" s="250" t="s">
        <v>125</v>
      </c>
      <c r="B107" s="61" t="s">
        <v>126</v>
      </c>
      <c r="C107" s="69">
        <v>510</v>
      </c>
      <c r="D107" s="57" t="s">
        <v>24</v>
      </c>
      <c r="E107" s="24">
        <v>1100</v>
      </c>
      <c r="F107" s="229">
        <f t="shared" si="1"/>
        <v>561000</v>
      </c>
    </row>
    <row r="108" spans="1:6" x14ac:dyDescent="0.25">
      <c r="A108" s="250" t="s">
        <v>127</v>
      </c>
      <c r="B108" s="112" t="s">
        <v>128</v>
      </c>
      <c r="C108" s="69">
        <v>177</v>
      </c>
      <c r="D108" s="57" t="s">
        <v>24</v>
      </c>
      <c r="E108" s="24">
        <v>4500</v>
      </c>
      <c r="F108" s="229">
        <f t="shared" si="1"/>
        <v>796500</v>
      </c>
    </row>
    <row r="109" spans="1:6" x14ac:dyDescent="0.25">
      <c r="A109" s="250" t="s">
        <v>129</v>
      </c>
      <c r="B109" s="61" t="s">
        <v>130</v>
      </c>
      <c r="C109" s="69">
        <v>46</v>
      </c>
      <c r="D109" s="57" t="s">
        <v>24</v>
      </c>
      <c r="E109" s="24">
        <v>2500</v>
      </c>
      <c r="F109" s="229">
        <f t="shared" si="1"/>
        <v>115000</v>
      </c>
    </row>
    <row r="110" spans="1:6" x14ac:dyDescent="0.25">
      <c r="A110" s="253"/>
      <c r="B110" s="114"/>
      <c r="C110" s="115"/>
      <c r="D110" s="81"/>
      <c r="E110" s="27"/>
      <c r="F110" s="229"/>
    </row>
    <row r="111" spans="1:6" x14ac:dyDescent="0.25">
      <c r="A111" s="254">
        <v>8</v>
      </c>
      <c r="B111" s="117" t="s">
        <v>131</v>
      </c>
      <c r="C111" s="69"/>
      <c r="D111" s="57"/>
      <c r="E111" s="24"/>
      <c r="F111" s="229"/>
    </row>
    <row r="112" spans="1:6" x14ac:dyDescent="0.25">
      <c r="A112" s="255">
        <v>8.1</v>
      </c>
      <c r="B112" s="61" t="s">
        <v>132</v>
      </c>
      <c r="C112" s="69">
        <v>27</v>
      </c>
      <c r="D112" s="57" t="s">
        <v>24</v>
      </c>
      <c r="E112" s="24">
        <v>3250</v>
      </c>
      <c r="F112" s="229">
        <f t="shared" si="1"/>
        <v>87750</v>
      </c>
    </row>
    <row r="113" spans="1:6" x14ac:dyDescent="0.25">
      <c r="A113" s="255">
        <v>8.1999999999999993</v>
      </c>
      <c r="B113" s="88" t="s">
        <v>133</v>
      </c>
      <c r="C113" s="69">
        <v>22</v>
      </c>
      <c r="D113" s="57" t="s">
        <v>24</v>
      </c>
      <c r="E113" s="24">
        <v>2100</v>
      </c>
      <c r="F113" s="229">
        <f t="shared" si="1"/>
        <v>46200</v>
      </c>
    </row>
    <row r="114" spans="1:6" x14ac:dyDescent="0.25">
      <c r="A114" s="255">
        <v>8.3000000000000007</v>
      </c>
      <c r="B114" s="88" t="s">
        <v>134</v>
      </c>
      <c r="C114" s="69">
        <v>7</v>
      </c>
      <c r="D114" s="57" t="s">
        <v>24</v>
      </c>
      <c r="E114" s="24">
        <v>1800</v>
      </c>
      <c r="F114" s="229">
        <f t="shared" si="1"/>
        <v>12600</v>
      </c>
    </row>
    <row r="115" spans="1:6" x14ac:dyDescent="0.25">
      <c r="A115" s="255">
        <v>8.4</v>
      </c>
      <c r="B115" s="61" t="s">
        <v>135</v>
      </c>
      <c r="C115" s="69">
        <v>16</v>
      </c>
      <c r="D115" s="57" t="s">
        <v>24</v>
      </c>
      <c r="E115" s="24">
        <v>1500</v>
      </c>
      <c r="F115" s="229">
        <f t="shared" si="1"/>
        <v>24000</v>
      </c>
    </row>
    <row r="116" spans="1:6" x14ac:dyDescent="0.25">
      <c r="A116" s="255"/>
      <c r="B116" s="61"/>
      <c r="C116" s="69"/>
      <c r="D116" s="57"/>
      <c r="E116" s="24"/>
      <c r="F116" s="229"/>
    </row>
    <row r="117" spans="1:6" x14ac:dyDescent="0.25">
      <c r="A117" s="256">
        <v>9</v>
      </c>
      <c r="B117" s="120" t="s">
        <v>136</v>
      </c>
      <c r="C117" s="66"/>
      <c r="D117" s="57"/>
      <c r="E117" s="28"/>
      <c r="F117" s="229"/>
    </row>
    <row r="118" spans="1:6" x14ac:dyDescent="0.25">
      <c r="A118" s="243">
        <v>9.1</v>
      </c>
      <c r="B118" s="121" t="s">
        <v>137</v>
      </c>
      <c r="C118" s="66">
        <v>2</v>
      </c>
      <c r="D118" s="57" t="s">
        <v>24</v>
      </c>
      <c r="E118" s="28">
        <v>150000</v>
      </c>
      <c r="F118" s="229">
        <f t="shared" si="1"/>
        <v>300000</v>
      </c>
    </row>
    <row r="119" spans="1:6" x14ac:dyDescent="0.25">
      <c r="A119" s="243">
        <v>9.1999999999999993</v>
      </c>
      <c r="B119" s="121" t="s">
        <v>138</v>
      </c>
      <c r="C119" s="66">
        <v>1</v>
      </c>
      <c r="D119" s="57" t="s">
        <v>24</v>
      </c>
      <c r="E119" s="28">
        <v>185000</v>
      </c>
      <c r="F119" s="229">
        <f t="shared" si="1"/>
        <v>185000</v>
      </c>
    </row>
    <row r="120" spans="1:6" x14ac:dyDescent="0.25">
      <c r="A120" s="253"/>
      <c r="B120" s="114"/>
      <c r="C120" s="115"/>
      <c r="D120" s="57"/>
      <c r="E120" s="27"/>
      <c r="F120" s="229"/>
    </row>
    <row r="121" spans="1:6" x14ac:dyDescent="0.25">
      <c r="A121" s="254">
        <v>10</v>
      </c>
      <c r="B121" s="63" t="s">
        <v>139</v>
      </c>
      <c r="C121" s="66"/>
      <c r="D121" s="57"/>
      <c r="E121" s="24"/>
      <c r="F121" s="229"/>
    </row>
    <row r="122" spans="1:6" ht="39.6" x14ac:dyDescent="0.25">
      <c r="A122" s="255">
        <v>10.1</v>
      </c>
      <c r="B122" s="122" t="s">
        <v>140</v>
      </c>
      <c r="C122" s="123">
        <v>2</v>
      </c>
      <c r="D122" s="57" t="s">
        <v>24</v>
      </c>
      <c r="E122" s="24">
        <v>44250</v>
      </c>
      <c r="F122" s="229">
        <f t="shared" si="1"/>
        <v>88500</v>
      </c>
    </row>
    <row r="123" spans="1:6" ht="39.6" x14ac:dyDescent="0.25">
      <c r="A123" s="255">
        <v>10.199999999999999</v>
      </c>
      <c r="B123" s="122" t="s">
        <v>141</v>
      </c>
      <c r="C123" s="123">
        <v>1</v>
      </c>
      <c r="D123" s="57" t="s">
        <v>24</v>
      </c>
      <c r="E123" s="24">
        <v>41300</v>
      </c>
      <c r="F123" s="229">
        <f t="shared" si="1"/>
        <v>41300</v>
      </c>
    </row>
    <row r="124" spans="1:6" ht="39.6" x14ac:dyDescent="0.25">
      <c r="A124" s="255">
        <v>10.3</v>
      </c>
      <c r="B124" s="122" t="s">
        <v>142</v>
      </c>
      <c r="C124" s="123">
        <v>13</v>
      </c>
      <c r="D124" s="57" t="s">
        <v>24</v>
      </c>
      <c r="E124" s="24">
        <v>38645</v>
      </c>
      <c r="F124" s="229">
        <f t="shared" si="1"/>
        <v>502385</v>
      </c>
    </row>
    <row r="125" spans="1:6" ht="39.6" x14ac:dyDescent="0.25">
      <c r="A125" s="255">
        <v>10.4</v>
      </c>
      <c r="B125" s="122" t="s">
        <v>143</v>
      </c>
      <c r="C125" s="123">
        <v>13</v>
      </c>
      <c r="D125" s="57" t="s">
        <v>24</v>
      </c>
      <c r="E125" s="24">
        <v>35400</v>
      </c>
      <c r="F125" s="229">
        <f t="shared" si="1"/>
        <v>460200</v>
      </c>
    </row>
    <row r="126" spans="1:6" ht="24" customHeight="1" x14ac:dyDescent="0.25">
      <c r="A126" s="255">
        <v>10.5</v>
      </c>
      <c r="B126" s="122" t="s">
        <v>144</v>
      </c>
      <c r="C126" s="69">
        <v>18</v>
      </c>
      <c r="D126" s="57" t="s">
        <v>24</v>
      </c>
      <c r="E126" s="24">
        <v>5500</v>
      </c>
      <c r="F126" s="229">
        <f t="shared" si="1"/>
        <v>99000</v>
      </c>
    </row>
    <row r="127" spans="1:6" ht="21.75" customHeight="1" x14ac:dyDescent="0.25">
      <c r="A127" s="255">
        <v>10.6</v>
      </c>
      <c r="B127" s="122" t="s">
        <v>145</v>
      </c>
      <c r="C127" s="69">
        <v>2</v>
      </c>
      <c r="D127" s="57" t="s">
        <v>24</v>
      </c>
      <c r="E127" s="24">
        <v>8000</v>
      </c>
      <c r="F127" s="229">
        <f t="shared" si="1"/>
        <v>16000</v>
      </c>
    </row>
    <row r="128" spans="1:6" x14ac:dyDescent="0.25">
      <c r="A128" s="257"/>
      <c r="B128" s="125"/>
      <c r="C128" s="126"/>
      <c r="D128" s="127"/>
      <c r="E128" s="29"/>
      <c r="F128" s="229"/>
    </row>
    <row r="129" spans="1:6" x14ac:dyDescent="0.25">
      <c r="A129" s="254">
        <v>11</v>
      </c>
      <c r="B129" s="117" t="s">
        <v>146</v>
      </c>
      <c r="C129" s="123"/>
      <c r="D129" s="128"/>
      <c r="E129" s="30"/>
      <c r="F129" s="229"/>
    </row>
    <row r="130" spans="1:6" ht="26.4" x14ac:dyDescent="0.25">
      <c r="A130" s="258">
        <v>11.1</v>
      </c>
      <c r="B130" s="130" t="s">
        <v>147</v>
      </c>
      <c r="C130" s="131">
        <v>408</v>
      </c>
      <c r="D130" s="132" t="s">
        <v>24</v>
      </c>
      <c r="E130" s="31">
        <v>1750</v>
      </c>
      <c r="F130" s="229">
        <f t="shared" si="1"/>
        <v>714000</v>
      </c>
    </row>
    <row r="131" spans="1:6" x14ac:dyDescent="0.25">
      <c r="A131" s="259"/>
      <c r="B131" s="61"/>
      <c r="C131" s="66"/>
      <c r="D131" s="134"/>
      <c r="E131" s="24"/>
      <c r="F131" s="229"/>
    </row>
    <row r="132" spans="1:6" x14ac:dyDescent="0.25">
      <c r="A132" s="226">
        <v>12</v>
      </c>
      <c r="B132" s="135" t="s">
        <v>148</v>
      </c>
      <c r="C132" s="66"/>
      <c r="D132" s="134"/>
      <c r="E132" s="24"/>
      <c r="F132" s="229"/>
    </row>
    <row r="133" spans="1:6" ht="26.4" x14ac:dyDescent="0.25">
      <c r="A133" s="260">
        <v>12.1</v>
      </c>
      <c r="B133" s="72" t="s">
        <v>33</v>
      </c>
      <c r="C133" s="97">
        <v>13824</v>
      </c>
      <c r="D133" s="137" t="s">
        <v>40</v>
      </c>
      <c r="E133" s="32">
        <v>100</v>
      </c>
      <c r="F133" s="229">
        <f t="shared" si="1"/>
        <v>1382400</v>
      </c>
    </row>
    <row r="134" spans="1:6" ht="45.75" customHeight="1" x14ac:dyDescent="0.25">
      <c r="A134" s="260">
        <v>12.2</v>
      </c>
      <c r="B134" s="72" t="s">
        <v>149</v>
      </c>
      <c r="C134" s="97">
        <v>13824</v>
      </c>
      <c r="D134" s="137" t="s">
        <v>40</v>
      </c>
      <c r="E134" s="32">
        <v>100</v>
      </c>
      <c r="F134" s="229">
        <f t="shared" si="1"/>
        <v>1382400</v>
      </c>
    </row>
    <row r="135" spans="1:6" x14ac:dyDescent="0.25">
      <c r="A135" s="261"/>
      <c r="B135" s="61"/>
      <c r="C135" s="134"/>
      <c r="D135" s="139"/>
      <c r="E135" s="24"/>
      <c r="F135" s="229"/>
    </row>
    <row r="136" spans="1:6" x14ac:dyDescent="0.25">
      <c r="A136" s="226">
        <v>13</v>
      </c>
      <c r="B136" s="140" t="s">
        <v>150</v>
      </c>
      <c r="C136" s="141"/>
      <c r="D136" s="85"/>
      <c r="E136" s="24"/>
      <c r="F136" s="229"/>
    </row>
    <row r="137" spans="1:6" ht="15.6" x14ac:dyDescent="0.25">
      <c r="A137" s="255">
        <v>13.1</v>
      </c>
      <c r="B137" s="72" t="s">
        <v>151</v>
      </c>
      <c r="C137" s="142">
        <v>10368</v>
      </c>
      <c r="D137" s="143" t="s">
        <v>152</v>
      </c>
      <c r="E137" s="24">
        <v>101.93</v>
      </c>
      <c r="F137" s="229">
        <v>1056834.7</v>
      </c>
    </row>
    <row r="138" spans="1:6" ht="15.6" x14ac:dyDescent="0.25">
      <c r="A138" s="255">
        <v>13.2</v>
      </c>
      <c r="B138" s="72" t="s">
        <v>153</v>
      </c>
      <c r="C138" s="144">
        <v>10368</v>
      </c>
      <c r="D138" s="145" t="s">
        <v>152</v>
      </c>
      <c r="E138" s="32">
        <v>522.58000000000004</v>
      </c>
      <c r="F138" s="229">
        <v>5418116.125</v>
      </c>
    </row>
    <row r="139" spans="1:6" ht="13.8" x14ac:dyDescent="0.25">
      <c r="A139" s="255">
        <v>13.3</v>
      </c>
      <c r="B139" s="72" t="s">
        <v>154</v>
      </c>
      <c r="C139" s="62">
        <v>25920</v>
      </c>
      <c r="D139" s="146" t="s">
        <v>155</v>
      </c>
      <c r="E139" s="24">
        <v>50</v>
      </c>
      <c r="F139" s="229">
        <f t="shared" si="1"/>
        <v>1296000</v>
      </c>
    </row>
    <row r="140" spans="1:6" x14ac:dyDescent="0.25">
      <c r="A140" s="255"/>
      <c r="B140" s="103"/>
      <c r="C140" s="62"/>
      <c r="D140" s="146"/>
      <c r="E140" s="24"/>
      <c r="F140" s="229"/>
    </row>
    <row r="141" spans="1:6" x14ac:dyDescent="0.25">
      <c r="A141" s="255">
        <v>14</v>
      </c>
      <c r="B141" s="72" t="s">
        <v>156</v>
      </c>
      <c r="C141" s="66">
        <v>13824</v>
      </c>
      <c r="D141" s="134" t="s">
        <v>40</v>
      </c>
      <c r="E141" s="24">
        <v>30.39</v>
      </c>
      <c r="F141" s="229">
        <v>420125.875</v>
      </c>
    </row>
    <row r="142" spans="1:6" x14ac:dyDescent="0.25">
      <c r="A142" s="262"/>
      <c r="B142" s="148" t="s">
        <v>157</v>
      </c>
      <c r="C142" s="149"/>
      <c r="D142" s="150"/>
      <c r="E142" s="34"/>
      <c r="F142" s="497">
        <f>SUM(F41:F141)</f>
        <v>61479832.111999996</v>
      </c>
    </row>
    <row r="143" spans="1:6" x14ac:dyDescent="0.25">
      <c r="A143" s="264"/>
      <c r="B143" s="58"/>
      <c r="C143" s="59"/>
      <c r="D143" s="60"/>
      <c r="E143" s="33"/>
      <c r="F143" s="229"/>
    </row>
    <row r="144" spans="1:6" x14ac:dyDescent="0.25">
      <c r="A144" s="265" t="s">
        <v>158</v>
      </c>
      <c r="B144" s="153" t="s">
        <v>159</v>
      </c>
      <c r="C144" s="154"/>
      <c r="D144" s="155"/>
      <c r="E144" s="35"/>
      <c r="F144" s="229"/>
    </row>
    <row r="145" spans="1:6" x14ac:dyDescent="0.25">
      <c r="A145" s="266"/>
      <c r="B145" s="157"/>
      <c r="C145" s="158"/>
      <c r="D145" s="159"/>
      <c r="E145" s="1"/>
      <c r="F145" s="229"/>
    </row>
    <row r="146" spans="1:6" x14ac:dyDescent="0.25">
      <c r="A146" s="266">
        <v>1</v>
      </c>
      <c r="B146" s="157" t="s">
        <v>160</v>
      </c>
      <c r="C146" s="158"/>
      <c r="D146" s="159"/>
      <c r="E146" s="1"/>
      <c r="F146" s="229"/>
    </row>
    <row r="147" spans="1:6" x14ac:dyDescent="0.25">
      <c r="A147" s="267">
        <v>1.1000000000000001</v>
      </c>
      <c r="B147" s="157" t="s">
        <v>161</v>
      </c>
      <c r="C147" s="158"/>
      <c r="D147" s="159"/>
      <c r="E147" s="1"/>
      <c r="F147" s="229"/>
    </row>
    <row r="148" spans="1:6" x14ac:dyDescent="0.25">
      <c r="A148" s="268" t="s">
        <v>162</v>
      </c>
      <c r="B148" s="61" t="s">
        <v>163</v>
      </c>
      <c r="C148" s="62">
        <v>29.3</v>
      </c>
      <c r="D148" s="57" t="s">
        <v>164</v>
      </c>
      <c r="E148" s="1">
        <v>1250</v>
      </c>
      <c r="F148" s="229">
        <f t="shared" ref="F148:F158" si="2">+E148*C148</f>
        <v>36625</v>
      </c>
    </row>
    <row r="149" spans="1:6" ht="26.4" x14ac:dyDescent="0.25">
      <c r="A149" s="268" t="s">
        <v>165</v>
      </c>
      <c r="B149" s="72" t="s">
        <v>166</v>
      </c>
      <c r="C149" s="62">
        <v>38.090000000000003</v>
      </c>
      <c r="D149" s="57" t="s">
        <v>164</v>
      </c>
      <c r="E149" s="1">
        <v>1250</v>
      </c>
      <c r="F149" s="229">
        <f t="shared" si="2"/>
        <v>47612.500000000007</v>
      </c>
    </row>
    <row r="150" spans="1:6" x14ac:dyDescent="0.25">
      <c r="A150" s="266"/>
      <c r="B150" s="157"/>
      <c r="C150" s="158"/>
      <c r="D150" s="159"/>
      <c r="E150" s="1"/>
      <c r="F150" s="229"/>
    </row>
    <row r="151" spans="1:6" x14ac:dyDescent="0.25">
      <c r="A151" s="267">
        <v>1.2</v>
      </c>
      <c r="B151" s="63" t="s">
        <v>167</v>
      </c>
      <c r="C151" s="62"/>
      <c r="D151" s="57"/>
      <c r="E151" s="1"/>
      <c r="F151" s="229"/>
    </row>
    <row r="152" spans="1:6" x14ac:dyDescent="0.25">
      <c r="A152" s="268" t="s">
        <v>168</v>
      </c>
      <c r="B152" s="61" t="s">
        <v>169</v>
      </c>
      <c r="C152" s="62">
        <v>244.2</v>
      </c>
      <c r="D152" s="57" t="s">
        <v>40</v>
      </c>
      <c r="E152" s="1">
        <f>+'Analisis presupuesto base'!H380</f>
        <v>1602.2415654520917</v>
      </c>
      <c r="F152" s="229">
        <f>+E152*C152</f>
        <v>391267.39028340077</v>
      </c>
    </row>
    <row r="153" spans="1:6" x14ac:dyDescent="0.25">
      <c r="A153" s="268" t="s">
        <v>170</v>
      </c>
      <c r="B153" s="162" t="s">
        <v>171</v>
      </c>
      <c r="C153" s="62">
        <v>195.36</v>
      </c>
      <c r="D153" s="57" t="s">
        <v>172</v>
      </c>
      <c r="E153" s="1">
        <f>+'Analisis presupuesto base'!H368</f>
        <v>847.37599999999998</v>
      </c>
      <c r="F153" s="229">
        <f t="shared" si="2"/>
        <v>165543.37536000001</v>
      </c>
    </row>
    <row r="154" spans="1:6" x14ac:dyDescent="0.25">
      <c r="A154" s="262"/>
      <c r="B154" s="148" t="s">
        <v>173</v>
      </c>
      <c r="C154" s="149"/>
      <c r="D154" s="150"/>
      <c r="E154" s="34"/>
      <c r="F154" s="263">
        <f>SUM(F144:F153)</f>
        <v>641048.26564340084</v>
      </c>
    </row>
    <row r="155" spans="1:6" x14ac:dyDescent="0.25">
      <c r="A155" s="235"/>
      <c r="B155" s="163"/>
      <c r="C155" s="100"/>
      <c r="D155" s="81"/>
      <c r="E155" s="27"/>
      <c r="F155" s="229"/>
    </row>
    <row r="156" spans="1:6" x14ac:dyDescent="0.25">
      <c r="A156" s="264" t="s">
        <v>174</v>
      </c>
      <c r="B156" s="58" t="s">
        <v>175</v>
      </c>
      <c r="C156" s="141"/>
      <c r="D156" s="81"/>
      <c r="E156" s="1"/>
      <c r="F156" s="229"/>
    </row>
    <row r="157" spans="1:6" ht="52.8" x14ac:dyDescent="0.25">
      <c r="A157" s="255">
        <v>1</v>
      </c>
      <c r="B157" s="93" t="s">
        <v>176</v>
      </c>
      <c r="C157" s="100">
        <v>1</v>
      </c>
      <c r="D157" s="81" t="s">
        <v>24</v>
      </c>
      <c r="E157" s="1">
        <v>57000</v>
      </c>
      <c r="F157" s="229">
        <f t="shared" si="2"/>
        <v>57000</v>
      </c>
    </row>
    <row r="158" spans="1:6" ht="26.4" x14ac:dyDescent="0.25">
      <c r="A158" s="255">
        <v>2</v>
      </c>
      <c r="B158" s="164" t="s">
        <v>177</v>
      </c>
      <c r="C158" s="100">
        <v>10</v>
      </c>
      <c r="D158" s="81" t="s">
        <v>178</v>
      </c>
      <c r="E158" s="1">
        <v>22500</v>
      </c>
      <c r="F158" s="229">
        <f t="shared" si="2"/>
        <v>225000</v>
      </c>
    </row>
    <row r="159" spans="1:6" x14ac:dyDescent="0.25">
      <c r="A159" s="269"/>
      <c r="B159" s="166" t="s">
        <v>179</v>
      </c>
      <c r="C159" s="167"/>
      <c r="D159" s="150"/>
      <c r="E159" s="38"/>
      <c r="F159" s="270">
        <f>SUM(F156:F158)</f>
        <v>282000</v>
      </c>
    </row>
    <row r="160" spans="1:6" x14ac:dyDescent="0.25">
      <c r="A160" s="235"/>
      <c r="B160" s="163"/>
      <c r="C160" s="100"/>
      <c r="D160" s="81"/>
      <c r="E160" s="27"/>
      <c r="F160" s="271"/>
    </row>
    <row r="161" spans="1:6" x14ac:dyDescent="0.25">
      <c r="A161" s="272"/>
      <c r="B161" s="168" t="s">
        <v>180</v>
      </c>
      <c r="C161" s="169"/>
      <c r="D161" s="170"/>
      <c r="E161" s="41"/>
      <c r="F161" s="273">
        <v>62657908.719999999</v>
      </c>
    </row>
    <row r="162" spans="1:6" ht="13.8" thickBot="1" x14ac:dyDescent="0.3">
      <c r="A162" s="274"/>
      <c r="B162" s="275" t="s">
        <v>180</v>
      </c>
      <c r="C162" s="276"/>
      <c r="D162" s="277"/>
      <c r="E162" s="278"/>
      <c r="F162" s="279">
        <f>+F161</f>
        <v>62657908.719999999</v>
      </c>
    </row>
    <row r="163" spans="1:6" ht="13.8" thickBot="1" x14ac:dyDescent="0.3">
      <c r="A163" s="274"/>
      <c r="B163" s="275" t="s">
        <v>181</v>
      </c>
      <c r="C163" s="276"/>
      <c r="D163" s="277"/>
      <c r="E163" s="278"/>
      <c r="F163" s="494">
        <f>SUM(F162)</f>
        <v>62657908.719999999</v>
      </c>
    </row>
    <row r="164" spans="1:6" x14ac:dyDescent="0.25">
      <c r="A164" s="288"/>
      <c r="B164" s="289"/>
      <c r="C164" s="290"/>
      <c r="D164" s="291"/>
      <c r="E164" s="292"/>
      <c r="F164" s="293"/>
    </row>
    <row r="165" spans="1:6" x14ac:dyDescent="0.25">
      <c r="A165" s="294"/>
      <c r="B165" s="116" t="s">
        <v>182</v>
      </c>
      <c r="C165" s="171"/>
      <c r="D165" s="162"/>
      <c r="E165" s="37"/>
      <c r="F165" s="295"/>
    </row>
    <row r="166" spans="1:6" x14ac:dyDescent="0.25">
      <c r="A166" s="294"/>
      <c r="B166" s="172" t="s">
        <v>183</v>
      </c>
      <c r="C166" s="173">
        <v>0.03</v>
      </c>
      <c r="D166" s="162"/>
      <c r="E166" s="37"/>
      <c r="F166" s="296">
        <f>C166*F163</f>
        <v>1879737.2615999999</v>
      </c>
    </row>
    <row r="167" spans="1:6" x14ac:dyDescent="0.25">
      <c r="A167" s="294"/>
      <c r="B167" s="172" t="s">
        <v>184</v>
      </c>
      <c r="C167" s="173">
        <v>0.1</v>
      </c>
      <c r="D167" s="162"/>
      <c r="E167" s="37"/>
      <c r="F167" s="296">
        <f>F163*C167</f>
        <v>6265790.8720000004</v>
      </c>
    </row>
    <row r="168" spans="1:6" x14ac:dyDescent="0.25">
      <c r="A168" s="294"/>
      <c r="B168" s="172" t="s">
        <v>185</v>
      </c>
      <c r="C168" s="173">
        <v>0.04</v>
      </c>
      <c r="D168" s="162"/>
      <c r="E168" s="37"/>
      <c r="F168" s="296">
        <f>F163*C168</f>
        <v>2506316.3487999998</v>
      </c>
    </row>
    <row r="169" spans="1:6" x14ac:dyDescent="0.25">
      <c r="A169" s="294"/>
      <c r="B169" s="172" t="s">
        <v>186</v>
      </c>
      <c r="C169" s="173">
        <v>0.05</v>
      </c>
      <c r="D169" s="162"/>
      <c r="E169" s="37"/>
      <c r="F169" s="296">
        <f>F163*C169</f>
        <v>3132895.4360000002</v>
      </c>
    </row>
    <row r="170" spans="1:6" x14ac:dyDescent="0.25">
      <c r="A170" s="294"/>
      <c r="B170" s="172" t="s">
        <v>187</v>
      </c>
      <c r="C170" s="173">
        <v>0.03</v>
      </c>
      <c r="D170" s="162"/>
      <c r="E170" s="37"/>
      <c r="F170" s="296">
        <f>F163*C170</f>
        <v>1879737.2615999999</v>
      </c>
    </row>
    <row r="171" spans="1:6" x14ac:dyDescent="0.25">
      <c r="A171" s="294"/>
      <c r="B171" s="172" t="s">
        <v>188</v>
      </c>
      <c r="C171" s="173">
        <v>0.01</v>
      </c>
      <c r="D171" s="162"/>
      <c r="E171" s="37"/>
      <c r="F171" s="296">
        <f>F163*C171</f>
        <v>626579.08719999995</v>
      </c>
    </row>
    <row r="172" spans="1:6" x14ac:dyDescent="0.25">
      <c r="A172" s="297"/>
      <c r="B172" s="172" t="s">
        <v>189</v>
      </c>
      <c r="C172" s="173">
        <v>1E-3</v>
      </c>
      <c r="D172" s="162"/>
      <c r="E172" s="37"/>
      <c r="F172" s="296">
        <f>F163*C172</f>
        <v>62657.908719999999</v>
      </c>
    </row>
    <row r="173" spans="1:6" x14ac:dyDescent="0.25">
      <c r="A173" s="297"/>
      <c r="B173" s="174" t="s">
        <v>190</v>
      </c>
      <c r="C173" s="175">
        <v>0.18</v>
      </c>
      <c r="D173" s="162"/>
      <c r="E173" s="37"/>
      <c r="F173" s="296">
        <f>F167*C173</f>
        <v>1127842.35696</v>
      </c>
    </row>
    <row r="174" spans="1:6" x14ac:dyDescent="0.25">
      <c r="A174" s="297"/>
      <c r="B174" s="172" t="s">
        <v>191</v>
      </c>
      <c r="C174" s="173">
        <v>0.1</v>
      </c>
      <c r="D174" s="162"/>
      <c r="E174" s="37"/>
      <c r="F174" s="296">
        <f>F163*C174</f>
        <v>6265790.8720000004</v>
      </c>
    </row>
    <row r="175" spans="1:6" ht="26.4" x14ac:dyDescent="0.25">
      <c r="A175" s="297"/>
      <c r="B175" s="176" t="s">
        <v>192</v>
      </c>
      <c r="C175" s="177">
        <v>0.03</v>
      </c>
      <c r="D175" s="162"/>
      <c r="E175" s="37"/>
      <c r="F175" s="296">
        <f>F163*C175</f>
        <v>1879737.2615999999</v>
      </c>
    </row>
    <row r="176" spans="1:6" x14ac:dyDescent="0.25">
      <c r="A176" s="297"/>
      <c r="B176" s="176" t="s">
        <v>193</v>
      </c>
      <c r="C176" s="177">
        <v>1.4999999999999999E-2</v>
      </c>
      <c r="D176" s="162"/>
      <c r="E176" s="37"/>
      <c r="F176" s="296">
        <f>F163*C176</f>
        <v>939868.63079999993</v>
      </c>
    </row>
    <row r="177" spans="1:6" x14ac:dyDescent="0.25">
      <c r="A177" s="297"/>
      <c r="B177" s="172" t="s">
        <v>194</v>
      </c>
      <c r="C177" s="173">
        <v>0.05</v>
      </c>
      <c r="D177" s="60"/>
      <c r="E177" s="42"/>
      <c r="F177" s="296">
        <f>F163*C177</f>
        <v>3132895.4360000002</v>
      </c>
    </row>
    <row r="178" spans="1:6" x14ac:dyDescent="0.25">
      <c r="A178" s="298"/>
      <c r="B178" s="138" t="s">
        <v>195</v>
      </c>
      <c r="C178" s="158"/>
      <c r="D178" s="159"/>
      <c r="E178" s="36"/>
      <c r="F178" s="299">
        <f>SUM(F166:F177)</f>
        <v>29699848.733280003</v>
      </c>
    </row>
    <row r="179" spans="1:6" x14ac:dyDescent="0.25">
      <c r="A179" s="235"/>
      <c r="B179" s="104"/>
      <c r="C179" s="178"/>
      <c r="D179" s="179"/>
      <c r="E179" s="27"/>
      <c r="F179" s="300"/>
    </row>
    <row r="180" spans="1:6" ht="13.8" thickBot="1" x14ac:dyDescent="0.3">
      <c r="A180" s="301"/>
      <c r="B180" s="302" t="s">
        <v>196</v>
      </c>
      <c r="C180" s="303"/>
      <c r="D180" s="304"/>
      <c r="E180" s="305"/>
      <c r="F180" s="279">
        <f>F163+F178</f>
        <v>92357757.453280002</v>
      </c>
    </row>
    <row r="182" spans="1:6" x14ac:dyDescent="0.25">
      <c r="F182" s="180"/>
    </row>
  </sheetData>
  <mergeCells count="2">
    <mergeCell ref="A4:F4"/>
    <mergeCell ref="A3:F3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C149-6F62-4524-8CF2-722E2BFC71A1}">
  <sheetPr>
    <pageSetUpPr fitToPage="1"/>
  </sheetPr>
  <dimension ref="A1:H391"/>
  <sheetViews>
    <sheetView topLeftCell="C115" workbookViewId="0">
      <selection activeCell="G413" sqref="G413"/>
    </sheetView>
  </sheetViews>
  <sheetFormatPr baseColWidth="10" defaultColWidth="10.6640625" defaultRowHeight="13.2" x14ac:dyDescent="0.25"/>
  <cols>
    <col min="1" max="1" width="23" bestFit="1" customWidth="1"/>
    <col min="2" max="2" width="39.109375" customWidth="1"/>
    <col min="3" max="3" width="13.77734375" bestFit="1" customWidth="1"/>
    <col min="4" max="4" width="12.109375" bestFit="1" customWidth="1"/>
    <col min="5" max="5" width="19.5546875" bestFit="1" customWidth="1"/>
    <col min="6" max="6" width="21.44140625" bestFit="1" customWidth="1"/>
    <col min="7" max="7" width="12.88671875" bestFit="1" customWidth="1"/>
    <col min="8" max="8" width="15.44140625" bestFit="1" customWidth="1"/>
  </cols>
  <sheetData>
    <row r="1" spans="1:8" x14ac:dyDescent="0.25">
      <c r="A1" t="s">
        <v>442</v>
      </c>
    </row>
    <row r="4" spans="1:8" x14ac:dyDescent="0.25">
      <c r="A4" s="313" t="s">
        <v>197</v>
      </c>
      <c r="B4" s="313"/>
    </row>
    <row r="5" spans="1:8" ht="27.6" x14ac:dyDescent="0.25">
      <c r="A5" s="314" t="s">
        <v>198</v>
      </c>
      <c r="B5" s="314" t="s">
        <v>199</v>
      </c>
      <c r="C5" s="314" t="s">
        <v>200</v>
      </c>
      <c r="D5" s="314" t="s">
        <v>201</v>
      </c>
      <c r="E5" s="314" t="s">
        <v>202</v>
      </c>
      <c r="F5" s="314" t="s">
        <v>203</v>
      </c>
      <c r="G5" s="314" t="s">
        <v>204</v>
      </c>
      <c r="H5" s="314" t="s">
        <v>205</v>
      </c>
    </row>
    <row r="6" spans="1:8" ht="13.8" x14ac:dyDescent="0.25">
      <c r="A6" s="315"/>
      <c r="B6" s="316">
        <v>1</v>
      </c>
      <c r="C6" s="317">
        <v>1</v>
      </c>
      <c r="D6" s="318" t="s">
        <v>16</v>
      </c>
      <c r="E6" s="319">
        <v>570</v>
      </c>
      <c r="F6" s="319"/>
      <c r="G6" s="319">
        <f>+E6+F6</f>
        <v>570</v>
      </c>
      <c r="H6" s="320">
        <f>C6*G6</f>
        <v>570</v>
      </c>
    </row>
    <row r="7" spans="1:8" ht="13.8" x14ac:dyDescent="0.25">
      <c r="A7" s="315"/>
      <c r="B7" s="316" t="s">
        <v>206</v>
      </c>
      <c r="C7" s="317">
        <v>1</v>
      </c>
      <c r="D7" s="318" t="s">
        <v>207</v>
      </c>
      <c r="E7" s="319">
        <v>235</v>
      </c>
      <c r="F7" s="319">
        <f>+E7*0.18</f>
        <v>42.3</v>
      </c>
      <c r="G7" s="319">
        <f>+E7+F7</f>
        <v>277.3</v>
      </c>
      <c r="H7" s="320">
        <f>(C7*G7)/3</f>
        <v>92.433333333333337</v>
      </c>
    </row>
    <row r="8" spans="1:8" ht="13.8" x14ac:dyDescent="0.25">
      <c r="A8" s="315"/>
      <c r="B8" s="316" t="s">
        <v>208</v>
      </c>
      <c r="C8" s="317">
        <v>1</v>
      </c>
      <c r="D8" s="318" t="s">
        <v>16</v>
      </c>
      <c r="E8" s="319">
        <v>107</v>
      </c>
      <c r="F8" s="319"/>
      <c r="G8" s="319">
        <f>+E8+F8</f>
        <v>107</v>
      </c>
      <c r="H8" s="320">
        <f>C8*G8</f>
        <v>107</v>
      </c>
    </row>
    <row r="9" spans="1:8" ht="13.8" x14ac:dyDescent="0.25">
      <c r="A9" s="511" t="s">
        <v>209</v>
      </c>
      <c r="B9" s="511"/>
      <c r="C9" s="511"/>
      <c r="D9" s="511"/>
      <c r="E9" s="511"/>
      <c r="F9" s="321"/>
      <c r="G9" s="322"/>
      <c r="H9" s="323">
        <f>SUM(H6:H8)</f>
        <v>769.43333333333339</v>
      </c>
    </row>
    <row r="10" spans="1:8" ht="17.399999999999999" x14ac:dyDescent="0.3">
      <c r="A10" s="324"/>
      <c r="B10" s="324"/>
      <c r="C10" s="324"/>
      <c r="D10" s="324"/>
      <c r="E10" s="324"/>
      <c r="F10" s="324"/>
      <c r="G10" s="325" t="s">
        <v>210</v>
      </c>
      <c r="H10" s="325">
        <f>+H9</f>
        <v>769.43333333333339</v>
      </c>
    </row>
    <row r="13" spans="1:8" x14ac:dyDescent="0.25">
      <c r="A13" s="313" t="s">
        <v>211</v>
      </c>
    </row>
    <row r="14" spans="1:8" ht="27.6" x14ac:dyDescent="0.25">
      <c r="A14" s="314" t="s">
        <v>198</v>
      </c>
      <c r="B14" s="314" t="s">
        <v>199</v>
      </c>
      <c r="C14" s="314" t="s">
        <v>200</v>
      </c>
      <c r="D14" s="314" t="s">
        <v>201</v>
      </c>
      <c r="E14" s="314" t="s">
        <v>202</v>
      </c>
      <c r="F14" s="314" t="s">
        <v>203</v>
      </c>
      <c r="G14" s="314" t="s">
        <v>204</v>
      </c>
      <c r="H14" s="314" t="s">
        <v>205</v>
      </c>
    </row>
    <row r="15" spans="1:8" ht="13.8" x14ac:dyDescent="0.25">
      <c r="B15" s="316">
        <v>1</v>
      </c>
      <c r="C15" s="317">
        <v>1</v>
      </c>
      <c r="D15" s="318" t="s">
        <v>16</v>
      </c>
      <c r="E15" s="319">
        <v>2100</v>
      </c>
      <c r="F15" s="319"/>
      <c r="G15" s="319">
        <f>+E15+F15</f>
        <v>2100</v>
      </c>
      <c r="H15" s="320">
        <f>C15*G15</f>
        <v>2100</v>
      </c>
    </row>
    <row r="17" spans="1:8" x14ac:dyDescent="0.25">
      <c r="A17" s="313" t="s">
        <v>212</v>
      </c>
    </row>
    <row r="18" spans="1:8" ht="27.6" x14ac:dyDescent="0.25">
      <c r="A18" s="314" t="s">
        <v>198</v>
      </c>
      <c r="B18" s="314" t="s">
        <v>199</v>
      </c>
      <c r="C18" s="314" t="s">
        <v>200</v>
      </c>
      <c r="D18" s="314" t="s">
        <v>201</v>
      </c>
      <c r="E18" s="314" t="s">
        <v>202</v>
      </c>
      <c r="F18" s="314" t="s">
        <v>203</v>
      </c>
      <c r="G18" s="314" t="s">
        <v>204</v>
      </c>
      <c r="H18" s="314" t="s">
        <v>205</v>
      </c>
    </row>
    <row r="19" spans="1:8" ht="13.8" x14ac:dyDescent="0.25">
      <c r="B19" s="316">
        <v>1</v>
      </c>
      <c r="C19" s="317">
        <v>1</v>
      </c>
      <c r="D19" s="318" t="s">
        <v>16</v>
      </c>
      <c r="E19" s="319">
        <v>847</v>
      </c>
      <c r="F19" s="319"/>
      <c r="G19" s="319">
        <f>+E19+F19</f>
        <v>847</v>
      </c>
      <c r="H19" s="320">
        <f>C19*G19*2</f>
        <v>1694</v>
      </c>
    </row>
    <row r="20" spans="1:8" ht="13.8" x14ac:dyDescent="0.25">
      <c r="B20" s="326"/>
      <c r="C20" s="327"/>
      <c r="D20" s="328"/>
      <c r="E20" s="329"/>
      <c r="F20" s="329"/>
      <c r="G20" s="329"/>
      <c r="H20" s="330"/>
    </row>
    <row r="21" spans="1:8" x14ac:dyDescent="0.25">
      <c r="A21" s="331" t="s">
        <v>213</v>
      </c>
      <c r="B21" s="332" t="s">
        <v>214</v>
      </c>
      <c r="C21" s="332" t="s">
        <v>215</v>
      </c>
      <c r="D21" s="332" t="s">
        <v>216</v>
      </c>
      <c r="E21" s="332" t="s">
        <v>203</v>
      </c>
      <c r="F21" s="332" t="s">
        <v>217</v>
      </c>
      <c r="G21" s="332" t="s">
        <v>218</v>
      </c>
      <c r="H21" s="332" t="s">
        <v>219</v>
      </c>
    </row>
    <row r="22" spans="1:8" x14ac:dyDescent="0.25">
      <c r="A22" s="333" t="s">
        <v>220</v>
      </c>
      <c r="B22" s="334">
        <v>1</v>
      </c>
      <c r="C22" s="335" t="s">
        <v>221</v>
      </c>
      <c r="D22" s="336"/>
      <c r="E22" s="336"/>
      <c r="F22" s="336">
        <f>+F30/B24</f>
        <v>2518.88</v>
      </c>
      <c r="G22" s="336">
        <f>+G30/B24</f>
        <v>327.97</v>
      </c>
      <c r="H22" s="337">
        <f>+H30/B24</f>
        <v>2846.8500000000004</v>
      </c>
    </row>
    <row r="23" spans="1:8" x14ac:dyDescent="0.25">
      <c r="A23" s="338" t="s">
        <v>222</v>
      </c>
      <c r="B23" s="339"/>
      <c r="C23" s="340"/>
      <c r="D23" s="341"/>
      <c r="E23" s="341"/>
      <c r="F23" s="341"/>
      <c r="G23" s="341"/>
      <c r="H23" s="342"/>
    </row>
    <row r="24" spans="1:8" x14ac:dyDescent="0.25">
      <c r="A24" s="343" t="s">
        <v>223</v>
      </c>
      <c r="B24" s="344">
        <v>1</v>
      </c>
      <c r="C24" s="345" t="s">
        <v>221</v>
      </c>
      <c r="D24" s="341"/>
      <c r="E24" s="341"/>
      <c r="F24" s="341"/>
      <c r="G24" s="341"/>
      <c r="H24" s="342"/>
    </row>
    <row r="25" spans="1:8" x14ac:dyDescent="0.25">
      <c r="A25" s="343" t="s">
        <v>224</v>
      </c>
      <c r="B25" s="344"/>
      <c r="C25" s="345"/>
      <c r="D25" s="341"/>
      <c r="E25" s="341"/>
      <c r="F25" s="341"/>
      <c r="G25" s="341"/>
      <c r="H25" s="342"/>
    </row>
    <row r="26" spans="1:8" x14ac:dyDescent="0.25">
      <c r="A26" s="338" t="s">
        <v>225</v>
      </c>
      <c r="B26" s="344">
        <v>3.5</v>
      </c>
      <c r="C26" s="346" t="s">
        <v>226</v>
      </c>
      <c r="D26" s="341"/>
      <c r="E26" s="341"/>
      <c r="F26" s="341"/>
      <c r="G26" s="341"/>
      <c r="H26" s="342"/>
    </row>
    <row r="27" spans="1:8" x14ac:dyDescent="0.25">
      <c r="A27" s="343" t="s">
        <v>227</v>
      </c>
      <c r="B27" s="344"/>
      <c r="C27" s="345"/>
      <c r="D27" s="347"/>
      <c r="E27" s="347"/>
      <c r="F27" s="347"/>
      <c r="G27" s="347"/>
      <c r="H27" s="347"/>
    </row>
    <row r="28" spans="1:8" ht="22.8" x14ac:dyDescent="0.25">
      <c r="A28" s="338" t="s">
        <v>228</v>
      </c>
      <c r="B28" s="344">
        <v>1</v>
      </c>
      <c r="C28" s="345" t="s">
        <v>221</v>
      </c>
      <c r="D28" s="347">
        <v>1822.03</v>
      </c>
      <c r="E28" s="347">
        <v>327.97</v>
      </c>
      <c r="F28" s="347">
        <f>ROUND((B28*(D28)),2)</f>
        <v>1822.03</v>
      </c>
      <c r="G28" s="347">
        <f>ROUND((B28*(E28)),2)</f>
        <v>327.97</v>
      </c>
      <c r="H28" s="347"/>
    </row>
    <row r="29" spans="1:8" x14ac:dyDescent="0.25">
      <c r="A29" s="338" t="s">
        <v>206</v>
      </c>
      <c r="B29" s="344">
        <f>+B26</f>
        <v>3.5</v>
      </c>
      <c r="C29" s="345" t="s">
        <v>229</v>
      </c>
      <c r="D29" s="347">
        <v>199.1</v>
      </c>
      <c r="E29" s="347">
        <v>0</v>
      </c>
      <c r="F29" s="347">
        <f>ROUND((B29*(D29)),2)</f>
        <v>696.85</v>
      </c>
      <c r="G29" s="347">
        <f>ROUND((B29*(E29)),2)</f>
        <v>0</v>
      </c>
      <c r="H29" s="347"/>
    </row>
    <row r="30" spans="1:8" x14ac:dyDescent="0.25">
      <c r="A30" s="348" t="s">
        <v>230</v>
      </c>
      <c r="B30" s="339"/>
      <c r="C30" s="340"/>
      <c r="D30" s="341"/>
      <c r="E30" s="341"/>
      <c r="F30" s="341">
        <f>SUM(F28:F29)</f>
        <v>2518.88</v>
      </c>
      <c r="G30" s="341">
        <f>SUM(G28:G29)</f>
        <v>327.97</v>
      </c>
      <c r="H30" s="341">
        <f>SUM(F30:G30)</f>
        <v>2846.8500000000004</v>
      </c>
    </row>
    <row r="32" spans="1:8" ht="15.6" x14ac:dyDescent="0.25">
      <c r="A32" s="181"/>
      <c r="B32" s="512" t="s">
        <v>231</v>
      </c>
      <c r="C32" s="513"/>
    </row>
    <row r="33" spans="1:8" ht="31.2" x14ac:dyDescent="0.25">
      <c r="A33" s="195" t="s">
        <v>198</v>
      </c>
      <c r="B33" s="195" t="s">
        <v>199</v>
      </c>
      <c r="C33" s="195" t="s">
        <v>200</v>
      </c>
      <c r="D33" s="195" t="s">
        <v>201</v>
      </c>
      <c r="E33" s="195" t="s">
        <v>202</v>
      </c>
      <c r="F33" s="195" t="s">
        <v>203</v>
      </c>
      <c r="G33" s="181" t="s">
        <v>204</v>
      </c>
      <c r="H33" s="195" t="s">
        <v>205</v>
      </c>
    </row>
    <row r="34" spans="1:8" ht="16.2" thickBot="1" x14ac:dyDescent="0.3">
      <c r="A34" s="195"/>
      <c r="B34" s="349" t="s">
        <v>232</v>
      </c>
      <c r="C34" s="350"/>
      <c r="D34" s="350"/>
      <c r="E34" s="350"/>
      <c r="F34" s="350"/>
      <c r="G34" s="351"/>
      <c r="H34" s="350"/>
    </row>
    <row r="35" spans="1:8" ht="15.6" x14ac:dyDescent="0.25">
      <c r="A35" s="352">
        <v>1</v>
      </c>
      <c r="B35" s="353" t="s">
        <v>233</v>
      </c>
      <c r="C35" s="354">
        <v>1</v>
      </c>
      <c r="D35" s="355" t="s">
        <v>234</v>
      </c>
      <c r="E35" s="356">
        <v>10765</v>
      </c>
      <c r="F35" s="357">
        <f>+E35*0.18</f>
        <v>1937.6999999999998</v>
      </c>
      <c r="G35" s="357">
        <f>+E35+F35</f>
        <v>12702.7</v>
      </c>
      <c r="H35" s="358">
        <f>+G35*C35</f>
        <v>12702.7</v>
      </c>
    </row>
    <row r="36" spans="1:8" ht="16.2" thickBot="1" x14ac:dyDescent="0.3">
      <c r="A36" s="182"/>
      <c r="B36" s="359"/>
      <c r="C36" s="360"/>
      <c r="D36" s="361"/>
      <c r="E36" s="362"/>
      <c r="F36" s="363"/>
      <c r="G36" s="364" t="s">
        <v>235</v>
      </c>
      <c r="H36" s="365">
        <f>+H35</f>
        <v>12702.7</v>
      </c>
    </row>
    <row r="37" spans="1:8" ht="15.6" x14ac:dyDescent="0.25">
      <c r="A37" s="182"/>
      <c r="B37" s="366" t="s">
        <v>236</v>
      </c>
      <c r="C37" s="197"/>
      <c r="D37" s="198"/>
      <c r="E37" s="199"/>
      <c r="F37" s="200"/>
      <c r="G37" s="367"/>
      <c r="H37" s="368"/>
    </row>
    <row r="38" spans="1:8" ht="15.6" x14ac:dyDescent="0.25">
      <c r="A38" s="182"/>
      <c r="B38" s="369" t="s">
        <v>237</v>
      </c>
      <c r="C38" s="197"/>
      <c r="D38" s="370"/>
      <c r="E38" s="199"/>
      <c r="F38" s="200"/>
      <c r="G38" s="200"/>
      <c r="H38" s="201"/>
    </row>
    <row r="39" spans="1:8" ht="16.2" thickBot="1" x14ac:dyDescent="0.3">
      <c r="A39" s="182">
        <v>2</v>
      </c>
      <c r="B39" s="371" t="s">
        <v>238</v>
      </c>
      <c r="C39" s="197">
        <v>1</v>
      </c>
      <c r="D39" s="370" t="s">
        <v>239</v>
      </c>
      <c r="E39" s="372"/>
      <c r="F39" s="200"/>
      <c r="G39" s="200"/>
      <c r="H39" s="201">
        <v>250</v>
      </c>
    </row>
    <row r="40" spans="1:8" ht="28.2" thickBot="1" x14ac:dyDescent="0.3">
      <c r="A40" s="182">
        <v>3</v>
      </c>
      <c r="B40" s="371" t="s">
        <v>240</v>
      </c>
      <c r="C40" s="197">
        <v>1</v>
      </c>
      <c r="D40" s="198" t="s">
        <v>241</v>
      </c>
      <c r="E40" s="372"/>
      <c r="F40" s="200"/>
      <c r="G40" s="200"/>
      <c r="H40" s="201">
        <f>+(H35+H39+H42+H43)*C40%</f>
        <v>149.02700000000002</v>
      </c>
    </row>
    <row r="41" spans="1:8" ht="15.6" x14ac:dyDescent="0.25">
      <c r="A41" s="182"/>
      <c r="B41" s="373" t="s">
        <v>242</v>
      </c>
      <c r="C41" s="197"/>
      <c r="D41" s="370"/>
      <c r="E41" s="372"/>
      <c r="F41" s="200"/>
      <c r="G41" s="200"/>
      <c r="H41" s="201"/>
    </row>
    <row r="42" spans="1:8" ht="15.6" x14ac:dyDescent="0.25">
      <c r="A42" s="182">
        <v>4</v>
      </c>
      <c r="B42" s="374" t="s">
        <v>243</v>
      </c>
      <c r="C42" s="375">
        <v>0.5</v>
      </c>
      <c r="D42" s="370" t="s">
        <v>244</v>
      </c>
      <c r="E42" s="372">
        <v>2000</v>
      </c>
      <c r="F42" s="200"/>
      <c r="G42" s="200"/>
      <c r="H42" s="201">
        <f>+E42*C42</f>
        <v>1000</v>
      </c>
    </row>
    <row r="43" spans="1:8" ht="16.2" thickBot="1" x14ac:dyDescent="0.3">
      <c r="A43" s="182">
        <v>5</v>
      </c>
      <c r="B43" s="374" t="s">
        <v>245</v>
      </c>
      <c r="C43" s="376">
        <v>1</v>
      </c>
      <c r="D43" s="370" t="s">
        <v>244</v>
      </c>
      <c r="E43" s="372">
        <v>950</v>
      </c>
      <c r="F43" s="200"/>
      <c r="G43" s="377"/>
      <c r="H43" s="378">
        <f>+E43*C43</f>
        <v>950</v>
      </c>
    </row>
    <row r="44" spans="1:8" ht="16.2" thickBot="1" x14ac:dyDescent="0.3">
      <c r="A44" s="514"/>
      <c r="B44" s="514"/>
      <c r="C44" s="514"/>
      <c r="D44" s="514"/>
      <c r="E44" s="514"/>
      <c r="F44" s="379"/>
      <c r="G44" s="380" t="s">
        <v>246</v>
      </c>
      <c r="H44" s="381">
        <f>SUM(H39:H43)/10</f>
        <v>234.90270000000001</v>
      </c>
    </row>
    <row r="45" spans="1:8" ht="15.6" x14ac:dyDescent="0.25">
      <c r="G45" s="382" t="s">
        <v>246</v>
      </c>
      <c r="H45" s="181">
        <f>+H44+H36</f>
        <v>12937.602700000001</v>
      </c>
    </row>
    <row r="47" spans="1:8" ht="15.6" x14ac:dyDescent="0.25">
      <c r="A47" s="181"/>
      <c r="B47" s="512" t="s">
        <v>247</v>
      </c>
      <c r="C47" s="513"/>
    </row>
    <row r="48" spans="1:8" ht="31.2" x14ac:dyDescent="0.25">
      <c r="A48" s="195" t="s">
        <v>198</v>
      </c>
      <c r="B48" s="195" t="s">
        <v>199</v>
      </c>
      <c r="C48" s="195" t="s">
        <v>200</v>
      </c>
      <c r="D48" s="195" t="s">
        <v>201</v>
      </c>
      <c r="E48" s="195" t="s">
        <v>202</v>
      </c>
      <c r="F48" s="195" t="s">
        <v>203</v>
      </c>
      <c r="G48" s="181" t="s">
        <v>204</v>
      </c>
      <c r="H48" s="195" t="s">
        <v>205</v>
      </c>
    </row>
    <row r="49" spans="1:8" ht="16.2" thickBot="1" x14ac:dyDescent="0.3">
      <c r="A49" s="195"/>
      <c r="B49" s="349" t="s">
        <v>232</v>
      </c>
      <c r="C49" s="350"/>
      <c r="D49" s="350"/>
      <c r="E49" s="350"/>
      <c r="F49" s="350"/>
      <c r="G49" s="351"/>
      <c r="H49" s="350"/>
    </row>
    <row r="50" spans="1:8" ht="15.6" x14ac:dyDescent="0.25">
      <c r="A50" s="352">
        <v>1</v>
      </c>
      <c r="B50" s="353" t="s">
        <v>248</v>
      </c>
      <c r="C50" s="354">
        <v>1</v>
      </c>
      <c r="D50" s="355" t="s">
        <v>234</v>
      </c>
      <c r="E50" s="356">
        <v>7500</v>
      </c>
      <c r="F50" s="357">
        <f>+E50*0.18</f>
        <v>1350</v>
      </c>
      <c r="G50" s="357">
        <f>+E50+F50</f>
        <v>8850</v>
      </c>
      <c r="H50" s="358">
        <f>+G50*C50</f>
        <v>8850</v>
      </c>
    </row>
    <row r="51" spans="1:8" ht="16.2" thickBot="1" x14ac:dyDescent="0.3">
      <c r="A51" s="182"/>
      <c r="B51" s="359"/>
      <c r="C51" s="360"/>
      <c r="D51" s="361"/>
      <c r="E51" s="362"/>
      <c r="F51" s="363"/>
      <c r="G51" s="364" t="s">
        <v>235</v>
      </c>
      <c r="H51" s="365">
        <f>+H50</f>
        <v>8850</v>
      </c>
    </row>
    <row r="52" spans="1:8" ht="15.6" x14ac:dyDescent="0.25">
      <c r="A52" s="182"/>
      <c r="B52" s="366" t="s">
        <v>236</v>
      </c>
      <c r="C52" s="197"/>
      <c r="D52" s="198"/>
      <c r="E52" s="199"/>
      <c r="F52" s="200"/>
      <c r="G52" s="367"/>
      <c r="H52" s="368"/>
    </row>
    <row r="53" spans="1:8" ht="15.6" x14ac:dyDescent="0.25">
      <c r="A53" s="182"/>
      <c r="B53" s="369" t="s">
        <v>237</v>
      </c>
      <c r="C53" s="197"/>
      <c r="D53" s="370"/>
      <c r="E53" s="199"/>
      <c r="F53" s="200"/>
      <c r="G53" s="200"/>
      <c r="H53" s="201"/>
    </row>
    <row r="54" spans="1:8" ht="16.2" thickBot="1" x14ac:dyDescent="0.3">
      <c r="A54" s="182">
        <v>2</v>
      </c>
      <c r="B54" s="371" t="s">
        <v>238</v>
      </c>
      <c r="C54" s="197">
        <v>1</v>
      </c>
      <c r="D54" s="370" t="s">
        <v>239</v>
      </c>
      <c r="E54" s="372"/>
      <c r="F54" s="200"/>
      <c r="G54" s="200"/>
      <c r="H54" s="201">
        <v>250</v>
      </c>
    </row>
    <row r="55" spans="1:8" ht="28.2" thickBot="1" x14ac:dyDescent="0.3">
      <c r="A55" s="182">
        <v>3</v>
      </c>
      <c r="B55" s="371" t="s">
        <v>240</v>
      </c>
      <c r="C55" s="197">
        <v>1</v>
      </c>
      <c r="D55" s="198" t="s">
        <v>241</v>
      </c>
      <c r="E55" s="372"/>
      <c r="F55" s="200"/>
      <c r="G55" s="200"/>
      <c r="H55" s="201">
        <f>+(H50+H54+H57+H58)*C55%</f>
        <v>110.5</v>
      </c>
    </row>
    <row r="56" spans="1:8" ht="15.6" x14ac:dyDescent="0.25">
      <c r="A56" s="182"/>
      <c r="B56" s="373" t="s">
        <v>242</v>
      </c>
      <c r="C56" s="197"/>
      <c r="D56" s="370"/>
      <c r="E56" s="372"/>
      <c r="F56" s="200"/>
      <c r="G56" s="200"/>
      <c r="H56" s="201"/>
    </row>
    <row r="57" spans="1:8" ht="15.6" x14ac:dyDescent="0.25">
      <c r="A57" s="182">
        <v>4</v>
      </c>
      <c r="B57" s="374" t="s">
        <v>243</v>
      </c>
      <c r="C57" s="375">
        <v>0.5</v>
      </c>
      <c r="D57" s="370" t="s">
        <v>244</v>
      </c>
      <c r="E57" s="372">
        <v>2000</v>
      </c>
      <c r="F57" s="200"/>
      <c r="G57" s="200"/>
      <c r="H57" s="201">
        <f>+E57*C57</f>
        <v>1000</v>
      </c>
    </row>
    <row r="58" spans="1:8" ht="16.2" thickBot="1" x14ac:dyDescent="0.3">
      <c r="A58" s="182">
        <v>5</v>
      </c>
      <c r="B58" s="374" t="s">
        <v>245</v>
      </c>
      <c r="C58" s="376">
        <v>1</v>
      </c>
      <c r="D58" s="370" t="s">
        <v>244</v>
      </c>
      <c r="E58" s="372">
        <v>950</v>
      </c>
      <c r="F58" s="200"/>
      <c r="G58" s="377"/>
      <c r="H58" s="378">
        <f>+E58*C58</f>
        <v>950</v>
      </c>
    </row>
    <row r="59" spans="1:8" ht="16.2" thickBot="1" x14ac:dyDescent="0.3">
      <c r="A59" s="514"/>
      <c r="B59" s="514"/>
      <c r="C59" s="514"/>
      <c r="D59" s="514"/>
      <c r="E59" s="514"/>
      <c r="F59" s="379"/>
      <c r="G59" s="380" t="s">
        <v>246</v>
      </c>
      <c r="H59" s="381">
        <f>SUM(H54:H58)/10</f>
        <v>231.05</v>
      </c>
    </row>
    <row r="60" spans="1:8" ht="15.6" x14ac:dyDescent="0.25">
      <c r="G60" s="382" t="s">
        <v>246</v>
      </c>
      <c r="H60" s="181">
        <f>+H59+H51</f>
        <v>9081.0499999999993</v>
      </c>
    </row>
    <row r="63" spans="1:8" ht="15.6" x14ac:dyDescent="0.25">
      <c r="A63" s="181"/>
      <c r="B63" s="512" t="s">
        <v>249</v>
      </c>
      <c r="C63" s="513"/>
    </row>
    <row r="64" spans="1:8" ht="31.2" x14ac:dyDescent="0.25">
      <c r="A64" s="195" t="s">
        <v>198</v>
      </c>
      <c r="B64" s="195" t="s">
        <v>199</v>
      </c>
      <c r="C64" s="195" t="s">
        <v>200</v>
      </c>
      <c r="D64" s="195" t="s">
        <v>201</v>
      </c>
      <c r="E64" s="195" t="s">
        <v>202</v>
      </c>
      <c r="F64" s="195" t="s">
        <v>203</v>
      </c>
      <c r="G64" s="181" t="s">
        <v>204</v>
      </c>
      <c r="H64" s="195" t="s">
        <v>205</v>
      </c>
    </row>
    <row r="65" spans="1:8" ht="16.2" thickBot="1" x14ac:dyDescent="0.3">
      <c r="A65" s="195"/>
      <c r="B65" s="349" t="s">
        <v>232</v>
      </c>
      <c r="C65" s="350"/>
      <c r="D65" s="350"/>
      <c r="E65" s="350"/>
      <c r="F65" s="350"/>
      <c r="G65" s="351"/>
      <c r="H65" s="350"/>
    </row>
    <row r="66" spans="1:8" ht="15.6" x14ac:dyDescent="0.25">
      <c r="A66" s="352">
        <v>1</v>
      </c>
      <c r="B66" s="353" t="s">
        <v>248</v>
      </c>
      <c r="C66" s="354">
        <v>1</v>
      </c>
      <c r="D66" s="355" t="s">
        <v>234</v>
      </c>
      <c r="E66" s="356">
        <v>5500</v>
      </c>
      <c r="F66" s="357">
        <f>+E66*0.18</f>
        <v>990</v>
      </c>
      <c r="G66" s="357">
        <f>+E66+F66</f>
        <v>6490</v>
      </c>
      <c r="H66" s="358">
        <f>+G66*C66</f>
        <v>6490</v>
      </c>
    </row>
    <row r="67" spans="1:8" ht="16.2" thickBot="1" x14ac:dyDescent="0.3">
      <c r="A67" s="182"/>
      <c r="B67" s="359"/>
      <c r="C67" s="360"/>
      <c r="D67" s="361"/>
      <c r="E67" s="362"/>
      <c r="F67" s="363"/>
      <c r="G67" s="364" t="s">
        <v>235</v>
      </c>
      <c r="H67" s="365">
        <f>+H66</f>
        <v>6490</v>
      </c>
    </row>
    <row r="68" spans="1:8" ht="15.6" x14ac:dyDescent="0.25">
      <c r="A68" s="182"/>
      <c r="B68" s="366" t="s">
        <v>236</v>
      </c>
      <c r="C68" s="197"/>
      <c r="D68" s="198"/>
      <c r="E68" s="199"/>
      <c r="F68" s="200"/>
      <c r="G68" s="367"/>
      <c r="H68" s="368"/>
    </row>
    <row r="69" spans="1:8" ht="15.6" x14ac:dyDescent="0.25">
      <c r="A69" s="182"/>
      <c r="B69" s="369" t="s">
        <v>237</v>
      </c>
      <c r="C69" s="197"/>
      <c r="D69" s="370"/>
      <c r="E69" s="199"/>
      <c r="F69" s="200"/>
      <c r="G69" s="200"/>
      <c r="H69" s="201"/>
    </row>
    <row r="70" spans="1:8" ht="16.2" thickBot="1" x14ac:dyDescent="0.3">
      <c r="A70" s="182">
        <v>2</v>
      </c>
      <c r="B70" s="371" t="s">
        <v>238</v>
      </c>
      <c r="C70" s="197">
        <v>1</v>
      </c>
      <c r="D70" s="370" t="s">
        <v>239</v>
      </c>
      <c r="E70" s="372"/>
      <c r="F70" s="200"/>
      <c r="G70" s="200"/>
      <c r="H70" s="201">
        <v>250</v>
      </c>
    </row>
    <row r="71" spans="1:8" ht="28.2" thickBot="1" x14ac:dyDescent="0.3">
      <c r="A71" s="182">
        <v>3</v>
      </c>
      <c r="B71" s="371" t="s">
        <v>240</v>
      </c>
      <c r="C71" s="197">
        <v>1</v>
      </c>
      <c r="D71" s="198" t="s">
        <v>241</v>
      </c>
      <c r="E71" s="372"/>
      <c r="F71" s="200"/>
      <c r="G71" s="200"/>
      <c r="H71" s="201">
        <f>+(H66+H70+H73+H74)*C71%</f>
        <v>86.9</v>
      </c>
    </row>
    <row r="72" spans="1:8" ht="15.6" x14ac:dyDescent="0.25">
      <c r="A72" s="182"/>
      <c r="B72" s="373" t="s">
        <v>242</v>
      </c>
      <c r="C72" s="197"/>
      <c r="D72" s="370"/>
      <c r="E72" s="372"/>
      <c r="F72" s="200"/>
      <c r="G72" s="200"/>
      <c r="H72" s="201"/>
    </row>
    <row r="73" spans="1:8" ht="15.6" x14ac:dyDescent="0.25">
      <c r="A73" s="182">
        <v>4</v>
      </c>
      <c r="B73" s="374" t="s">
        <v>243</v>
      </c>
      <c r="C73" s="375">
        <v>0.5</v>
      </c>
      <c r="D73" s="370" t="s">
        <v>244</v>
      </c>
      <c r="E73" s="372">
        <v>2000</v>
      </c>
      <c r="F73" s="200"/>
      <c r="G73" s="200"/>
      <c r="H73" s="201">
        <f>+E73*C73</f>
        <v>1000</v>
      </c>
    </row>
    <row r="74" spans="1:8" ht="16.2" thickBot="1" x14ac:dyDescent="0.3">
      <c r="A74" s="182">
        <v>5</v>
      </c>
      <c r="B74" s="374" t="s">
        <v>245</v>
      </c>
      <c r="C74" s="376">
        <v>1</v>
      </c>
      <c r="D74" s="370" t="s">
        <v>244</v>
      </c>
      <c r="E74" s="372">
        <v>950</v>
      </c>
      <c r="F74" s="200"/>
      <c r="G74" s="377"/>
      <c r="H74" s="378">
        <f>+E74*C74</f>
        <v>950</v>
      </c>
    </row>
    <row r="75" spans="1:8" ht="16.2" thickBot="1" x14ac:dyDescent="0.3">
      <c r="A75" s="514"/>
      <c r="B75" s="514"/>
      <c r="C75" s="514"/>
      <c r="D75" s="514"/>
      <c r="E75" s="514"/>
      <c r="F75" s="379"/>
      <c r="G75" s="380" t="s">
        <v>246</v>
      </c>
      <c r="H75" s="381">
        <f>SUM(H70:H74)/10</f>
        <v>228.69</v>
      </c>
    </row>
    <row r="76" spans="1:8" ht="15.6" x14ac:dyDescent="0.25">
      <c r="G76" s="382" t="s">
        <v>246</v>
      </c>
      <c r="H76" s="181">
        <f>+H75+H67</f>
        <v>6718.69</v>
      </c>
    </row>
    <row r="78" spans="1:8" ht="15.6" x14ac:dyDescent="0.25">
      <c r="A78" s="181"/>
      <c r="B78" s="512" t="s">
        <v>250</v>
      </c>
      <c r="C78" s="513"/>
    </row>
    <row r="79" spans="1:8" ht="31.2" x14ac:dyDescent="0.25">
      <c r="A79" s="195" t="s">
        <v>198</v>
      </c>
      <c r="B79" s="195" t="s">
        <v>199</v>
      </c>
      <c r="C79" s="195" t="s">
        <v>200</v>
      </c>
      <c r="D79" s="195" t="s">
        <v>201</v>
      </c>
      <c r="E79" s="195" t="s">
        <v>202</v>
      </c>
      <c r="F79" s="195" t="s">
        <v>203</v>
      </c>
      <c r="G79" s="181" t="s">
        <v>204</v>
      </c>
      <c r="H79" s="195" t="s">
        <v>205</v>
      </c>
    </row>
    <row r="80" spans="1:8" ht="16.2" thickBot="1" x14ac:dyDescent="0.3">
      <c r="A80" s="195"/>
      <c r="B80" s="349" t="s">
        <v>232</v>
      </c>
      <c r="C80" s="350"/>
      <c r="D80" s="350"/>
      <c r="E80" s="350"/>
      <c r="F80" s="350"/>
      <c r="G80" s="351"/>
      <c r="H80" s="350"/>
    </row>
    <row r="81" spans="1:8" ht="15.6" x14ac:dyDescent="0.25">
      <c r="A81" s="352">
        <v>1</v>
      </c>
      <c r="B81" s="353" t="s">
        <v>248</v>
      </c>
      <c r="C81" s="354">
        <v>1</v>
      </c>
      <c r="D81" s="355" t="s">
        <v>234</v>
      </c>
      <c r="E81" s="356">
        <v>6500</v>
      </c>
      <c r="F81" s="357">
        <f>+E81*0.18</f>
        <v>1170</v>
      </c>
      <c r="G81" s="357">
        <f>+E81+F81</f>
        <v>7670</v>
      </c>
      <c r="H81" s="358">
        <f>+G81*C81</f>
        <v>7670</v>
      </c>
    </row>
    <row r="82" spans="1:8" ht="16.2" thickBot="1" x14ac:dyDescent="0.3">
      <c r="A82" s="182"/>
      <c r="B82" s="359"/>
      <c r="C82" s="360"/>
      <c r="D82" s="361"/>
      <c r="E82" s="362"/>
      <c r="F82" s="363"/>
      <c r="G82" s="364" t="s">
        <v>235</v>
      </c>
      <c r="H82" s="365">
        <f>+H81</f>
        <v>7670</v>
      </c>
    </row>
    <row r="83" spans="1:8" ht="15.6" x14ac:dyDescent="0.25">
      <c r="A83" s="182"/>
      <c r="B83" s="366" t="s">
        <v>236</v>
      </c>
      <c r="C83" s="197"/>
      <c r="D83" s="198"/>
      <c r="E83" s="199"/>
      <c r="F83" s="200"/>
      <c r="G83" s="367"/>
      <c r="H83" s="368"/>
    </row>
    <row r="84" spans="1:8" ht="15.6" x14ac:dyDescent="0.25">
      <c r="A84" s="182"/>
      <c r="B84" s="369" t="s">
        <v>237</v>
      </c>
      <c r="C84" s="197"/>
      <c r="D84" s="370"/>
      <c r="E84" s="199"/>
      <c r="F84" s="200"/>
      <c r="G84" s="200"/>
      <c r="H84" s="201"/>
    </row>
    <row r="85" spans="1:8" ht="16.2" thickBot="1" x14ac:dyDescent="0.3">
      <c r="A85" s="182">
        <v>2</v>
      </c>
      <c r="B85" s="371" t="s">
        <v>238</v>
      </c>
      <c r="C85" s="197">
        <v>1</v>
      </c>
      <c r="D85" s="370" t="s">
        <v>239</v>
      </c>
      <c r="E85" s="372"/>
      <c r="F85" s="200"/>
      <c r="G85" s="200"/>
      <c r="H85" s="201">
        <v>250</v>
      </c>
    </row>
    <row r="86" spans="1:8" ht="28.2" thickBot="1" x14ac:dyDescent="0.3">
      <c r="A86" s="182">
        <v>3</v>
      </c>
      <c r="B86" s="371" t="s">
        <v>240</v>
      </c>
      <c r="C86" s="197">
        <v>1</v>
      </c>
      <c r="D86" s="198" t="s">
        <v>241</v>
      </c>
      <c r="E86" s="372"/>
      <c r="F86" s="200"/>
      <c r="G86" s="200"/>
      <c r="H86" s="201">
        <f>+(H81+H85+H88+H89)*C86%</f>
        <v>98.7</v>
      </c>
    </row>
    <row r="87" spans="1:8" ht="15.6" x14ac:dyDescent="0.25">
      <c r="A87" s="182"/>
      <c r="B87" s="373" t="s">
        <v>242</v>
      </c>
      <c r="C87" s="197"/>
      <c r="D87" s="370"/>
      <c r="E87" s="372"/>
      <c r="F87" s="200"/>
      <c r="G87" s="200"/>
      <c r="H87" s="201"/>
    </row>
    <row r="88" spans="1:8" ht="15.6" x14ac:dyDescent="0.25">
      <c r="A88" s="182">
        <v>4</v>
      </c>
      <c r="B88" s="374" t="s">
        <v>243</v>
      </c>
      <c r="C88" s="375">
        <v>0.5</v>
      </c>
      <c r="D88" s="370" t="s">
        <v>244</v>
      </c>
      <c r="E88" s="372">
        <v>2000</v>
      </c>
      <c r="F88" s="200"/>
      <c r="G88" s="200"/>
      <c r="H88" s="201">
        <f>+E88*C88</f>
        <v>1000</v>
      </c>
    </row>
    <row r="89" spans="1:8" ht="16.2" thickBot="1" x14ac:dyDescent="0.3">
      <c r="A89" s="182">
        <v>5</v>
      </c>
      <c r="B89" s="374" t="s">
        <v>245</v>
      </c>
      <c r="C89" s="376">
        <v>1</v>
      </c>
      <c r="D89" s="370" t="s">
        <v>244</v>
      </c>
      <c r="E89" s="372">
        <v>950</v>
      </c>
      <c r="F89" s="200"/>
      <c r="G89" s="377"/>
      <c r="H89" s="378">
        <f>+E89*C89</f>
        <v>950</v>
      </c>
    </row>
    <row r="90" spans="1:8" ht="16.2" thickBot="1" x14ac:dyDescent="0.3">
      <c r="A90" s="514"/>
      <c r="B90" s="514"/>
      <c r="C90" s="514"/>
      <c r="D90" s="514"/>
      <c r="E90" s="514"/>
      <c r="F90" s="379"/>
      <c r="G90" s="380" t="s">
        <v>246</v>
      </c>
      <c r="H90" s="381">
        <f>SUM(H85:H89)/10</f>
        <v>229.86999999999998</v>
      </c>
    </row>
    <row r="91" spans="1:8" ht="15.6" x14ac:dyDescent="0.25">
      <c r="G91" s="382" t="s">
        <v>246</v>
      </c>
      <c r="H91" s="181">
        <f>+H90+H82</f>
        <v>7899.87</v>
      </c>
    </row>
    <row r="94" spans="1:8" ht="15.6" x14ac:dyDescent="0.25">
      <c r="A94" s="193">
        <v>12</v>
      </c>
      <c r="B94" s="515" t="s">
        <v>251</v>
      </c>
      <c r="C94" s="516"/>
      <c r="D94" s="517"/>
      <c r="E94" s="194"/>
      <c r="F94" s="194"/>
      <c r="G94" s="194"/>
      <c r="H94" s="194"/>
    </row>
    <row r="95" spans="1:8" ht="31.2" x14ac:dyDescent="0.25">
      <c r="A95" s="195" t="s">
        <v>198</v>
      </c>
      <c r="B95" s="195" t="s">
        <v>199</v>
      </c>
      <c r="C95" s="195" t="s">
        <v>200</v>
      </c>
      <c r="D95" s="195" t="s">
        <v>201</v>
      </c>
      <c r="E95" s="195" t="s">
        <v>202</v>
      </c>
      <c r="F95" s="195" t="s">
        <v>203</v>
      </c>
      <c r="G95" s="181" t="s">
        <v>204</v>
      </c>
      <c r="H95" s="195" t="s">
        <v>205</v>
      </c>
    </row>
    <row r="96" spans="1:8" ht="15.6" x14ac:dyDescent="0.25">
      <c r="A96" s="195">
        <v>1</v>
      </c>
      <c r="B96" s="196" t="s">
        <v>252</v>
      </c>
      <c r="C96" s="197">
        <v>20</v>
      </c>
      <c r="D96" s="198" t="s">
        <v>253</v>
      </c>
      <c r="E96" s="199">
        <v>750</v>
      </c>
      <c r="F96" s="200">
        <v>0</v>
      </c>
      <c r="G96" s="200">
        <f>+E96+F96</f>
        <v>750</v>
      </c>
      <c r="H96" s="201">
        <f>+G96*C96</f>
        <v>15000</v>
      </c>
    </row>
    <row r="97" spans="1:8" ht="15.6" x14ac:dyDescent="0.25">
      <c r="A97" s="195">
        <v>2</v>
      </c>
      <c r="B97" s="196" t="s">
        <v>254</v>
      </c>
      <c r="C97" s="197">
        <v>1</v>
      </c>
      <c r="D97" s="198" t="s">
        <v>253</v>
      </c>
      <c r="E97" s="199">
        <v>4500</v>
      </c>
      <c r="F97" s="200">
        <v>810</v>
      </c>
      <c r="G97" s="200">
        <f>+E97+F97</f>
        <v>5310</v>
      </c>
      <c r="H97" s="201">
        <f>+G97*C97</f>
        <v>5310</v>
      </c>
    </row>
    <row r="98" spans="1:8" ht="31.2" x14ac:dyDescent="0.25">
      <c r="A98" s="195">
        <v>3</v>
      </c>
      <c r="B98" s="196" t="s">
        <v>255</v>
      </c>
      <c r="C98" s="197">
        <v>35</v>
      </c>
      <c r="D98" s="198" t="s">
        <v>164</v>
      </c>
      <c r="E98" s="199">
        <v>288.02999999999997</v>
      </c>
      <c r="F98" s="200">
        <v>8.68</v>
      </c>
      <c r="G98" s="200">
        <f t="shared" ref="G98:G99" si="0">+E98+F98</f>
        <v>296.70999999999998</v>
      </c>
      <c r="H98" s="201">
        <f>+E98*C98</f>
        <v>10081.049999999999</v>
      </c>
    </row>
    <row r="99" spans="1:8" ht="16.2" thickBot="1" x14ac:dyDescent="0.3">
      <c r="A99" s="195">
        <v>4</v>
      </c>
      <c r="B99" s="196" t="s">
        <v>256</v>
      </c>
      <c r="C99" s="197">
        <v>1000</v>
      </c>
      <c r="D99" s="198" t="s">
        <v>257</v>
      </c>
      <c r="E99" s="199"/>
      <c r="F99" s="200"/>
      <c r="G99" s="200">
        <f t="shared" si="0"/>
        <v>0</v>
      </c>
      <c r="H99" s="201">
        <f>+E99*C99</f>
        <v>0</v>
      </c>
    </row>
    <row r="100" spans="1:8" ht="16.2" thickBot="1" x14ac:dyDescent="0.3">
      <c r="A100" s="518"/>
      <c r="B100" s="518"/>
      <c r="C100" s="518"/>
      <c r="D100" s="518"/>
      <c r="E100" s="518"/>
      <c r="F100" s="202"/>
      <c r="G100" s="203" t="s">
        <v>246</v>
      </c>
      <c r="H100" s="204">
        <f>SUM(H96:H99)/C99</f>
        <v>30.39105</v>
      </c>
    </row>
    <row r="102" spans="1:8" ht="15.6" x14ac:dyDescent="0.25">
      <c r="A102" s="181">
        <v>1</v>
      </c>
      <c r="B102" s="509" t="s">
        <v>258</v>
      </c>
      <c r="C102" s="510"/>
      <c r="D102" s="510"/>
    </row>
    <row r="103" spans="1:8" ht="27.6" x14ac:dyDescent="0.25">
      <c r="A103" s="182" t="s">
        <v>198</v>
      </c>
      <c r="B103" s="182" t="s">
        <v>199</v>
      </c>
      <c r="C103" s="182" t="s">
        <v>200</v>
      </c>
      <c r="D103" s="182" t="s">
        <v>201</v>
      </c>
      <c r="E103" s="182" t="s">
        <v>202</v>
      </c>
      <c r="F103" s="182" t="s">
        <v>203</v>
      </c>
      <c r="G103" s="183" t="s">
        <v>204</v>
      </c>
      <c r="H103" s="182" t="s">
        <v>205</v>
      </c>
    </row>
    <row r="104" spans="1:8" ht="13.8" x14ac:dyDescent="0.25">
      <c r="A104" s="383">
        <v>1</v>
      </c>
      <c r="B104" s="184" t="s">
        <v>258</v>
      </c>
      <c r="C104" s="185">
        <v>1</v>
      </c>
      <c r="D104" s="186" t="s">
        <v>259</v>
      </c>
      <c r="E104" s="187">
        <v>17400</v>
      </c>
      <c r="F104" s="187">
        <f>+E104*0.18</f>
        <v>3132</v>
      </c>
      <c r="G104" s="187">
        <f>+E104+F104</f>
        <v>20532</v>
      </c>
      <c r="H104" s="188">
        <f>C104*G104</f>
        <v>20532</v>
      </c>
    </row>
    <row r="105" spans="1:8" ht="13.8" x14ac:dyDescent="0.25">
      <c r="A105" s="520" t="s">
        <v>260</v>
      </c>
      <c r="B105" s="520"/>
      <c r="C105" s="520"/>
      <c r="D105" s="520"/>
      <c r="E105" s="520"/>
      <c r="F105" s="312"/>
      <c r="G105" s="189"/>
      <c r="H105" s="190">
        <f>SUM(H104:H104)</f>
        <v>20532</v>
      </c>
    </row>
    <row r="106" spans="1:8" ht="17.399999999999999" x14ac:dyDescent="0.3">
      <c r="A106" s="191"/>
      <c r="B106" s="191"/>
      <c r="C106" s="191"/>
      <c r="D106" s="191"/>
      <c r="E106" s="191"/>
      <c r="F106" s="191"/>
      <c r="G106" s="192" t="s">
        <v>261</v>
      </c>
      <c r="H106" s="192">
        <f>+H105/500</f>
        <v>41.064</v>
      </c>
    </row>
    <row r="108" spans="1:8" ht="15.6" x14ac:dyDescent="0.25">
      <c r="A108" s="181">
        <v>1</v>
      </c>
      <c r="B108" s="512" t="s">
        <v>262</v>
      </c>
      <c r="C108" s="513"/>
      <c r="D108" s="513"/>
    </row>
    <row r="109" spans="1:8" ht="31.2" x14ac:dyDescent="0.25">
      <c r="A109" s="195" t="s">
        <v>198</v>
      </c>
      <c r="B109" s="195" t="s">
        <v>199</v>
      </c>
      <c r="C109" s="195" t="s">
        <v>200</v>
      </c>
      <c r="D109" s="195" t="s">
        <v>201</v>
      </c>
      <c r="E109" s="195" t="s">
        <v>202</v>
      </c>
      <c r="F109" s="195" t="s">
        <v>263</v>
      </c>
      <c r="G109" s="181" t="s">
        <v>204</v>
      </c>
      <c r="H109" s="195" t="s">
        <v>205</v>
      </c>
    </row>
    <row r="110" spans="1:8" ht="15.6" x14ac:dyDescent="0.25">
      <c r="A110" s="195">
        <v>1</v>
      </c>
      <c r="B110" s="384" t="s">
        <v>264</v>
      </c>
      <c r="C110" s="385">
        <v>1</v>
      </c>
      <c r="D110" s="384" t="s">
        <v>221</v>
      </c>
      <c r="E110" s="198">
        <v>450</v>
      </c>
      <c r="F110" s="386">
        <f>+E110*0.18</f>
        <v>81</v>
      </c>
      <c r="G110" s="386">
        <f>+E110+F110</f>
        <v>531</v>
      </c>
      <c r="H110" s="387">
        <f>+G110*C110</f>
        <v>531</v>
      </c>
    </row>
    <row r="111" spans="1:8" ht="15.6" x14ac:dyDescent="0.25">
      <c r="A111" s="195">
        <v>2</v>
      </c>
      <c r="B111" s="384" t="s">
        <v>206</v>
      </c>
      <c r="C111" s="385">
        <v>1</v>
      </c>
      <c r="D111" s="198" t="s">
        <v>229</v>
      </c>
      <c r="E111" s="198">
        <v>240</v>
      </c>
      <c r="F111" s="386">
        <f>+E111*0.18</f>
        <v>43.199999999999996</v>
      </c>
      <c r="G111" s="386">
        <f>+E111+F111</f>
        <v>283.2</v>
      </c>
      <c r="H111" s="387">
        <f>+G111*C111</f>
        <v>283.2</v>
      </c>
    </row>
    <row r="112" spans="1:8" ht="15.6" x14ac:dyDescent="0.25">
      <c r="A112" s="195">
        <v>3</v>
      </c>
      <c r="B112" s="384" t="s">
        <v>265</v>
      </c>
      <c r="C112" s="388">
        <v>1</v>
      </c>
      <c r="D112" s="198" t="s">
        <v>221</v>
      </c>
      <c r="E112" s="198">
        <f>2200/8</f>
        <v>275</v>
      </c>
      <c r="F112" s="386"/>
      <c r="G112" s="386"/>
      <c r="H112" s="387">
        <f>+C112+E112</f>
        <v>276</v>
      </c>
    </row>
    <row r="113" spans="1:8" ht="15.6" x14ac:dyDescent="0.25">
      <c r="A113" s="195">
        <v>4</v>
      </c>
      <c r="B113" s="384" t="s">
        <v>266</v>
      </c>
      <c r="C113" s="388">
        <v>2</v>
      </c>
      <c r="D113" s="198" t="s">
        <v>221</v>
      </c>
      <c r="E113" s="198">
        <f>700/8</f>
        <v>87.5</v>
      </c>
      <c r="F113" s="386"/>
      <c r="G113" s="386"/>
      <c r="H113" s="387">
        <f>+C113+E113</f>
        <v>89.5</v>
      </c>
    </row>
    <row r="114" spans="1:8" ht="15.6" x14ac:dyDescent="0.25">
      <c r="A114" s="195">
        <v>5</v>
      </c>
      <c r="B114" s="386" t="s">
        <v>267</v>
      </c>
      <c r="C114" s="388">
        <v>35</v>
      </c>
      <c r="D114" s="386" t="s">
        <v>268</v>
      </c>
      <c r="E114" s="386"/>
      <c r="F114" s="386"/>
      <c r="G114" s="386"/>
      <c r="H114" s="387"/>
    </row>
    <row r="115" spans="1:8" ht="15.6" x14ac:dyDescent="0.25">
      <c r="A115" s="519" t="s">
        <v>269</v>
      </c>
      <c r="B115" s="519"/>
      <c r="C115" s="519"/>
      <c r="D115" s="519"/>
      <c r="E115" s="519"/>
      <c r="F115" s="389"/>
      <c r="G115" s="389"/>
      <c r="H115" s="390">
        <f>SUM(H110:H114)</f>
        <v>1179.7</v>
      </c>
    </row>
    <row r="116" spans="1:8" ht="15.6" x14ac:dyDescent="0.25">
      <c r="G116" s="192" t="s">
        <v>270</v>
      </c>
      <c r="H116" s="192">
        <f>+H115/C114</f>
        <v>33.705714285714286</v>
      </c>
    </row>
    <row r="118" spans="1:8" ht="15.6" x14ac:dyDescent="0.25">
      <c r="A118" s="181">
        <v>1</v>
      </c>
      <c r="B118" s="391" t="s">
        <v>271</v>
      </c>
    </row>
    <row r="119" spans="1:8" ht="31.2" x14ac:dyDescent="0.25">
      <c r="A119" s="195" t="s">
        <v>198</v>
      </c>
      <c r="B119" s="195" t="s">
        <v>199</v>
      </c>
      <c r="C119" s="195" t="s">
        <v>200</v>
      </c>
      <c r="D119" s="195" t="s">
        <v>201</v>
      </c>
      <c r="E119" s="195" t="s">
        <v>202</v>
      </c>
      <c r="F119" s="195" t="s">
        <v>203</v>
      </c>
      <c r="G119" s="181" t="s">
        <v>204</v>
      </c>
      <c r="H119" s="195" t="s">
        <v>205</v>
      </c>
    </row>
    <row r="120" spans="1:8" ht="15.6" x14ac:dyDescent="0.25">
      <c r="A120" s="195"/>
      <c r="B120" s="521" t="s">
        <v>272</v>
      </c>
      <c r="C120" s="522"/>
      <c r="D120" s="522"/>
      <c r="E120" s="522"/>
      <c r="F120" s="522"/>
      <c r="G120" s="522"/>
      <c r="H120" s="523"/>
    </row>
    <row r="121" spans="1:8" ht="15.6" x14ac:dyDescent="0.3">
      <c r="A121" s="195"/>
      <c r="B121" s="384" t="s">
        <v>273</v>
      </c>
      <c r="C121" s="385">
        <v>1</v>
      </c>
      <c r="D121" s="384" t="s">
        <v>221</v>
      </c>
      <c r="E121" s="392">
        <v>1275</v>
      </c>
      <c r="F121" s="200">
        <f>+E121*0.18</f>
        <v>229.5</v>
      </c>
      <c r="G121" s="386">
        <f>+E121+F121</f>
        <v>1504.5</v>
      </c>
      <c r="H121" s="387">
        <f>+G121*C121</f>
        <v>1504.5</v>
      </c>
    </row>
    <row r="122" spans="1:8" ht="15.6" x14ac:dyDescent="0.25">
      <c r="A122" s="195"/>
      <c r="B122" s="384" t="s">
        <v>274</v>
      </c>
      <c r="C122" s="385">
        <v>1</v>
      </c>
      <c r="D122" s="384" t="s">
        <v>221</v>
      </c>
      <c r="E122" s="201">
        <v>275</v>
      </c>
      <c r="F122" s="200"/>
      <c r="G122" s="386"/>
      <c r="H122" s="387">
        <f>+C122*E122</f>
        <v>275</v>
      </c>
    </row>
    <row r="123" spans="1:8" ht="15.6" x14ac:dyDescent="0.25">
      <c r="A123" s="195"/>
      <c r="B123" s="384" t="s">
        <v>275</v>
      </c>
      <c r="C123" s="385">
        <v>4</v>
      </c>
      <c r="D123" s="198" t="s">
        <v>229</v>
      </c>
      <c r="E123" s="198">
        <v>185</v>
      </c>
      <c r="F123" s="386">
        <f>+E123*0.18</f>
        <v>33.299999999999997</v>
      </c>
      <c r="G123" s="386">
        <f>+E123+F123</f>
        <v>218.3</v>
      </c>
      <c r="H123" s="387">
        <f>+G123*C123</f>
        <v>873.2</v>
      </c>
    </row>
    <row r="124" spans="1:8" ht="15.6" x14ac:dyDescent="0.25">
      <c r="A124" s="195"/>
      <c r="B124" s="384" t="s">
        <v>265</v>
      </c>
      <c r="C124" s="388">
        <v>1</v>
      </c>
      <c r="D124" s="198" t="s">
        <v>221</v>
      </c>
      <c r="E124" s="198">
        <f>1800/8</f>
        <v>225</v>
      </c>
      <c r="F124" s="386"/>
      <c r="G124" s="386"/>
      <c r="H124" s="387">
        <f>+C124+E124</f>
        <v>226</v>
      </c>
    </row>
    <row r="125" spans="1:8" ht="15.6" x14ac:dyDescent="0.25">
      <c r="A125" s="195"/>
      <c r="B125" s="384" t="s">
        <v>266</v>
      </c>
      <c r="C125" s="388">
        <v>2</v>
      </c>
      <c r="D125" s="198" t="s">
        <v>221</v>
      </c>
      <c r="E125" s="198">
        <v>100</v>
      </c>
      <c r="F125" s="386"/>
      <c r="G125" s="386"/>
      <c r="H125" s="387">
        <f>+C125+E125</f>
        <v>102</v>
      </c>
    </row>
    <row r="126" spans="1:8" ht="15.6" x14ac:dyDescent="0.25">
      <c r="A126" s="195"/>
      <c r="B126" s="386" t="s">
        <v>276</v>
      </c>
      <c r="C126" s="387">
        <v>75</v>
      </c>
      <c r="D126" s="386" t="s">
        <v>268</v>
      </c>
      <c r="E126" s="386"/>
      <c r="F126" s="386"/>
      <c r="G126" s="386"/>
      <c r="H126" s="387"/>
    </row>
    <row r="127" spans="1:8" ht="15.6" x14ac:dyDescent="0.25">
      <c r="A127" s="195"/>
      <c r="B127" s="393"/>
      <c r="C127" s="394"/>
      <c r="D127" s="395"/>
      <c r="E127" s="396"/>
      <c r="F127" s="396"/>
      <c r="G127" s="396"/>
      <c r="H127" s="397"/>
    </row>
    <row r="128" spans="1:8" ht="15.6" x14ac:dyDescent="0.25">
      <c r="A128" s="524"/>
      <c r="B128" s="524"/>
      <c r="C128" s="524"/>
      <c r="D128" s="524"/>
      <c r="E128" s="524"/>
      <c r="F128" s="398"/>
      <c r="G128" s="398" t="s">
        <v>219</v>
      </c>
      <c r="H128" s="399">
        <f>SUM(H121:H127)</f>
        <v>2980.7</v>
      </c>
    </row>
    <row r="129" spans="1:8" ht="15.6" x14ac:dyDescent="0.25">
      <c r="A129" s="367"/>
      <c r="B129" s="367"/>
      <c r="C129" s="367"/>
      <c r="D129" s="367"/>
      <c r="E129" s="367"/>
      <c r="F129" s="367"/>
      <c r="G129" s="192" t="s">
        <v>277</v>
      </c>
      <c r="H129" s="400">
        <f>+H128/C126</f>
        <v>39.742666666666665</v>
      </c>
    </row>
    <row r="132" spans="1:8" ht="15.6" x14ac:dyDescent="0.25">
      <c r="A132" s="181">
        <v>1</v>
      </c>
      <c r="B132" s="512" t="s">
        <v>278</v>
      </c>
      <c r="C132" s="513"/>
      <c r="D132" s="513"/>
    </row>
    <row r="133" spans="1:8" ht="31.2" x14ac:dyDescent="0.25">
      <c r="A133" s="195" t="s">
        <v>198</v>
      </c>
      <c r="B133" s="195" t="s">
        <v>199</v>
      </c>
      <c r="C133" s="195" t="s">
        <v>200</v>
      </c>
      <c r="D133" s="195" t="s">
        <v>201</v>
      </c>
      <c r="E133" s="195" t="s">
        <v>202</v>
      </c>
      <c r="F133" s="195" t="s">
        <v>203</v>
      </c>
      <c r="G133" s="181" t="s">
        <v>204</v>
      </c>
      <c r="H133" s="195" t="s">
        <v>205</v>
      </c>
    </row>
    <row r="134" spans="1:8" ht="15.6" x14ac:dyDescent="0.25">
      <c r="A134" s="195"/>
      <c r="B134" s="401" t="s">
        <v>279</v>
      </c>
      <c r="C134" s="402"/>
      <c r="D134" s="402"/>
      <c r="E134" s="402"/>
      <c r="F134" s="402"/>
      <c r="G134" s="402"/>
      <c r="H134" s="403"/>
    </row>
    <row r="135" spans="1:8" ht="15.6" x14ac:dyDescent="0.25">
      <c r="A135" s="195"/>
      <c r="B135" s="384" t="s">
        <v>273</v>
      </c>
      <c r="C135" s="385">
        <v>1</v>
      </c>
      <c r="D135" s="384" t="s">
        <v>221</v>
      </c>
      <c r="E135" s="198">
        <v>2350</v>
      </c>
      <c r="F135" s="386">
        <f>+E135*0.18</f>
        <v>423</v>
      </c>
      <c r="G135" s="386">
        <f>+E135+F135</f>
        <v>2773</v>
      </c>
      <c r="H135" s="387">
        <f>+G135*C135</f>
        <v>2773</v>
      </c>
    </row>
    <row r="136" spans="1:8" ht="31.2" x14ac:dyDescent="0.25">
      <c r="A136" s="195"/>
      <c r="B136" s="404" t="s">
        <v>280</v>
      </c>
      <c r="C136" s="405">
        <v>1</v>
      </c>
      <c r="D136" s="406" t="s">
        <v>281</v>
      </c>
      <c r="E136" s="407">
        <v>82.59</v>
      </c>
      <c r="F136" s="404">
        <f>+E136*0.18</f>
        <v>14.866199999999999</v>
      </c>
      <c r="G136" s="408">
        <f>+E136+F136</f>
        <v>97.456199999999995</v>
      </c>
      <c r="H136" s="408">
        <f>+C136*G136</f>
        <v>97.456199999999995</v>
      </c>
    </row>
    <row r="137" spans="1:8" ht="15.6" x14ac:dyDescent="0.3">
      <c r="A137" s="195"/>
      <c r="B137" s="409"/>
      <c r="C137" s="387"/>
      <c r="D137" s="386"/>
      <c r="E137" s="201"/>
      <c r="F137" s="201"/>
      <c r="G137" s="408"/>
      <c r="H137" s="201"/>
    </row>
    <row r="138" spans="1:8" ht="15.6" x14ac:dyDescent="0.25">
      <c r="A138" s="519"/>
      <c r="B138" s="519"/>
      <c r="C138" s="519"/>
      <c r="D138" s="519"/>
      <c r="E138" s="519"/>
      <c r="F138" s="389"/>
      <c r="G138" s="389" t="s">
        <v>269</v>
      </c>
      <c r="H138" s="390">
        <f>SUM(H135:H137)</f>
        <v>2870.4562000000001</v>
      </c>
    </row>
    <row r="139" spans="1:8" ht="15.6" x14ac:dyDescent="0.3">
      <c r="A139" s="410"/>
      <c r="B139" s="409"/>
      <c r="C139" s="409"/>
      <c r="D139" s="409"/>
      <c r="E139" s="409"/>
      <c r="F139" s="409"/>
      <c r="G139" s="192" t="s">
        <v>282</v>
      </c>
      <c r="H139" s="400">
        <f>+H138/17</f>
        <v>168.85036470588236</v>
      </c>
    </row>
    <row r="141" spans="1:8" ht="15.6" x14ac:dyDescent="0.25">
      <c r="A141" s="181">
        <v>1</v>
      </c>
      <c r="B141" s="391" t="s">
        <v>283</v>
      </c>
    </row>
    <row r="142" spans="1:8" ht="31.2" x14ac:dyDescent="0.25">
      <c r="A142" s="195" t="s">
        <v>198</v>
      </c>
      <c r="B142" s="195" t="s">
        <v>199</v>
      </c>
      <c r="C142" s="195" t="s">
        <v>200</v>
      </c>
      <c r="D142" s="195" t="s">
        <v>201</v>
      </c>
      <c r="E142" s="195" t="s">
        <v>202</v>
      </c>
      <c r="F142" s="195" t="s">
        <v>203</v>
      </c>
      <c r="G142" s="181" t="s">
        <v>204</v>
      </c>
      <c r="H142" s="195" t="s">
        <v>205</v>
      </c>
    </row>
    <row r="143" spans="1:8" ht="15.6" x14ac:dyDescent="0.25">
      <c r="A143" s="195"/>
      <c r="B143" s="521" t="s">
        <v>272</v>
      </c>
      <c r="C143" s="522"/>
      <c r="D143" s="522"/>
      <c r="E143" s="522"/>
      <c r="F143" s="522"/>
      <c r="G143" s="522"/>
      <c r="H143" s="523"/>
    </row>
    <row r="144" spans="1:8" ht="15.6" x14ac:dyDescent="0.3">
      <c r="A144" s="195"/>
      <c r="B144" s="411" t="s">
        <v>273</v>
      </c>
      <c r="C144" s="412">
        <v>1</v>
      </c>
      <c r="D144" s="411" t="s">
        <v>221</v>
      </c>
      <c r="E144" s="392">
        <v>1472.03</v>
      </c>
      <c r="F144" s="200">
        <f>+E144*0.18</f>
        <v>264.96539999999999</v>
      </c>
      <c r="G144" s="200">
        <f>+E144+F144</f>
        <v>1736.9954</v>
      </c>
      <c r="H144" s="201">
        <f>+G144*C144</f>
        <v>1736.9954</v>
      </c>
    </row>
    <row r="145" spans="1:8" ht="15.6" x14ac:dyDescent="0.3">
      <c r="A145" s="195"/>
      <c r="B145" s="411" t="s">
        <v>274</v>
      </c>
      <c r="C145" s="412">
        <v>1</v>
      </c>
      <c r="D145" s="411" t="s">
        <v>221</v>
      </c>
      <c r="E145" s="201">
        <v>350</v>
      </c>
      <c r="F145" s="200"/>
      <c r="G145" s="200"/>
      <c r="H145" s="201">
        <f>+C145*E145</f>
        <v>350</v>
      </c>
    </row>
    <row r="146" spans="1:8" ht="15.6" x14ac:dyDescent="0.3">
      <c r="A146" s="195"/>
      <c r="B146" s="411" t="s">
        <v>275</v>
      </c>
      <c r="C146" s="412">
        <v>4</v>
      </c>
      <c r="D146" s="392" t="s">
        <v>229</v>
      </c>
      <c r="E146" s="392">
        <v>185</v>
      </c>
      <c r="F146" s="200">
        <f>+E146*0.18</f>
        <v>33.299999999999997</v>
      </c>
      <c r="G146" s="200">
        <f>+E146+F146</f>
        <v>218.3</v>
      </c>
      <c r="H146" s="201">
        <f>+G146*C146</f>
        <v>873.2</v>
      </c>
    </row>
    <row r="147" spans="1:8" ht="15.6" x14ac:dyDescent="0.3">
      <c r="A147" s="195"/>
      <c r="B147" s="411" t="s">
        <v>265</v>
      </c>
      <c r="C147" s="413">
        <v>1</v>
      </c>
      <c r="D147" s="392" t="s">
        <v>221</v>
      </c>
      <c r="E147" s="392">
        <f>1800/8</f>
        <v>225</v>
      </c>
      <c r="F147" s="200"/>
      <c r="G147" s="200"/>
      <c r="H147" s="201">
        <f>+C147+E147</f>
        <v>226</v>
      </c>
    </row>
    <row r="148" spans="1:8" ht="15.6" x14ac:dyDescent="0.3">
      <c r="A148" s="195"/>
      <c r="B148" s="411" t="s">
        <v>266</v>
      </c>
      <c r="C148" s="413">
        <v>2</v>
      </c>
      <c r="D148" s="392" t="s">
        <v>221</v>
      </c>
      <c r="E148" s="392">
        <v>100</v>
      </c>
      <c r="F148" s="200"/>
      <c r="G148" s="200"/>
      <c r="H148" s="201">
        <f>+C148+E148</f>
        <v>102</v>
      </c>
    </row>
    <row r="149" spans="1:8" ht="15.6" x14ac:dyDescent="0.25">
      <c r="A149" s="195"/>
      <c r="B149" s="414" t="s">
        <v>276</v>
      </c>
      <c r="C149" s="387">
        <v>20</v>
      </c>
      <c r="D149" s="414" t="s">
        <v>268</v>
      </c>
      <c r="E149" s="200"/>
      <c r="F149" s="200"/>
      <c r="G149" s="200"/>
      <c r="H149" s="201"/>
    </row>
    <row r="150" spans="1:8" ht="15.6" x14ac:dyDescent="0.25">
      <c r="A150" s="195"/>
      <c r="B150" s="393"/>
      <c r="C150" s="394"/>
      <c r="D150" s="395"/>
      <c r="E150" s="396"/>
      <c r="F150" s="396"/>
      <c r="G150" s="396"/>
      <c r="H150" s="397"/>
    </row>
    <row r="151" spans="1:8" ht="15.6" x14ac:dyDescent="0.25">
      <c r="A151" s="524"/>
      <c r="B151" s="524"/>
      <c r="C151" s="524"/>
      <c r="D151" s="524"/>
      <c r="E151" s="524"/>
      <c r="F151" s="398"/>
      <c r="G151" s="398" t="s">
        <v>219</v>
      </c>
      <c r="H151" s="399">
        <f>SUM(H144:H150)</f>
        <v>3288.1953999999996</v>
      </c>
    </row>
    <row r="152" spans="1:8" ht="15.6" x14ac:dyDescent="0.25">
      <c r="A152" s="367"/>
      <c r="B152" s="367"/>
      <c r="C152" s="367"/>
      <c r="D152" s="367"/>
      <c r="E152" s="367"/>
      <c r="F152" s="367"/>
      <c r="G152" s="192" t="s">
        <v>277</v>
      </c>
      <c r="H152" s="400">
        <f>+H151/40</f>
        <v>82.20488499999999</v>
      </c>
    </row>
    <row r="153" spans="1:8" ht="15.6" x14ac:dyDescent="0.25">
      <c r="A153" s="367"/>
      <c r="B153" s="367"/>
      <c r="C153" s="367"/>
      <c r="D153" s="367"/>
      <c r="E153" s="367"/>
      <c r="F153" s="367"/>
      <c r="G153" s="415"/>
      <c r="H153" s="416"/>
    </row>
    <row r="154" spans="1:8" x14ac:dyDescent="0.25">
      <c r="A154" s="331" t="s">
        <v>213</v>
      </c>
      <c r="B154" s="332" t="s">
        <v>214</v>
      </c>
      <c r="C154" s="332" t="s">
        <v>215</v>
      </c>
      <c r="D154" s="332" t="s">
        <v>216</v>
      </c>
      <c r="E154" s="332" t="s">
        <v>203</v>
      </c>
      <c r="F154" s="332" t="s">
        <v>217</v>
      </c>
      <c r="G154" s="332" t="s">
        <v>218</v>
      </c>
      <c r="H154" s="332" t="s">
        <v>219</v>
      </c>
    </row>
    <row r="155" spans="1:8" ht="34.200000000000003" x14ac:dyDescent="0.25">
      <c r="A155" s="333" t="s">
        <v>284</v>
      </c>
      <c r="B155" s="334">
        <v>1</v>
      </c>
      <c r="C155" s="335" t="s">
        <v>285</v>
      </c>
      <c r="D155" s="336"/>
      <c r="E155" s="336"/>
      <c r="F155" s="336">
        <f>+F163/B157</f>
        <v>413.30285714285714</v>
      </c>
      <c r="G155" s="336">
        <f>+G163/B157</f>
        <v>53.39</v>
      </c>
      <c r="H155" s="417">
        <f>+H163/B157</f>
        <v>466.69285714285712</v>
      </c>
    </row>
    <row r="156" spans="1:8" ht="22.8" x14ac:dyDescent="0.25">
      <c r="A156" s="338" t="s">
        <v>286</v>
      </c>
      <c r="B156" s="339"/>
      <c r="C156" s="340"/>
      <c r="D156" s="341"/>
      <c r="E156" s="341"/>
      <c r="F156" s="341"/>
      <c r="G156" s="341"/>
      <c r="H156" s="342"/>
    </row>
    <row r="157" spans="1:8" x14ac:dyDescent="0.25">
      <c r="A157" s="343" t="s">
        <v>287</v>
      </c>
      <c r="B157" s="344">
        <f>700*2</f>
        <v>1400</v>
      </c>
      <c r="C157" s="345" t="s">
        <v>285</v>
      </c>
      <c r="D157" s="341"/>
      <c r="E157" s="341"/>
      <c r="F157" s="341"/>
      <c r="G157" s="341"/>
      <c r="H157" s="342"/>
    </row>
    <row r="158" spans="1:8" x14ac:dyDescent="0.25">
      <c r="A158" s="343" t="s">
        <v>224</v>
      </c>
      <c r="B158" s="344"/>
      <c r="C158" s="345"/>
      <c r="D158" s="341"/>
      <c r="E158" s="341"/>
      <c r="F158" s="341"/>
      <c r="G158" s="341"/>
      <c r="H158" s="342"/>
    </row>
    <row r="159" spans="1:8" ht="22.8" x14ac:dyDescent="0.25">
      <c r="A159" s="338" t="s">
        <v>288</v>
      </c>
      <c r="B159" s="344">
        <v>10</v>
      </c>
      <c r="C159" s="346" t="s">
        <v>289</v>
      </c>
      <c r="D159" s="341"/>
      <c r="E159" s="341"/>
      <c r="F159" s="341"/>
      <c r="G159" s="341"/>
      <c r="H159" s="342"/>
    </row>
    <row r="160" spans="1:8" x14ac:dyDescent="0.25">
      <c r="A160" s="343" t="s">
        <v>227</v>
      </c>
      <c r="B160" s="344"/>
      <c r="C160" s="345"/>
      <c r="D160" s="347"/>
      <c r="E160" s="347"/>
      <c r="F160" s="347"/>
      <c r="G160" s="347"/>
      <c r="H160" s="347"/>
    </row>
    <row r="161" spans="1:8" ht="22.8" x14ac:dyDescent="0.25">
      <c r="A161" s="338" t="s">
        <v>290</v>
      </c>
      <c r="B161" s="344">
        <f>ROUND((B157/B159),4)</f>
        <v>140</v>
      </c>
      <c r="C161" s="345" t="s">
        <v>221</v>
      </c>
      <c r="D161" s="347">
        <v>3961.6</v>
      </c>
      <c r="E161" s="347">
        <v>533.9</v>
      </c>
      <c r="F161" s="347">
        <f>ROUND((B161*(D161)),2)</f>
        <v>554624</v>
      </c>
      <c r="G161" s="347">
        <f>ROUND((B161*(E161)),2)</f>
        <v>74746</v>
      </c>
      <c r="H161" s="347"/>
    </row>
    <row r="162" spans="1:8" x14ac:dyDescent="0.25">
      <c r="A162" s="338" t="s">
        <v>291</v>
      </c>
      <c r="B162" s="344">
        <f>0.8*2</f>
        <v>1.6</v>
      </c>
      <c r="C162" s="345" t="s">
        <v>215</v>
      </c>
      <c r="D162" s="347">
        <v>15000</v>
      </c>
      <c r="E162" s="347">
        <v>0</v>
      </c>
      <c r="F162" s="347">
        <f>ROUND((B162*(D162)),2)</f>
        <v>24000</v>
      </c>
      <c r="G162" s="347">
        <f>ROUND((B162*(E162)),2)</f>
        <v>0</v>
      </c>
      <c r="H162" s="347"/>
    </row>
    <row r="163" spans="1:8" x14ac:dyDescent="0.25">
      <c r="A163" s="338" t="s">
        <v>230</v>
      </c>
      <c r="B163" s="344"/>
      <c r="C163" s="345"/>
      <c r="D163" s="347"/>
      <c r="E163" s="347"/>
      <c r="F163" s="347">
        <f>SUM(F161:F162)</f>
        <v>578624</v>
      </c>
      <c r="G163" s="347">
        <f>SUM(G161:G162)</f>
        <v>74746</v>
      </c>
      <c r="H163" s="347">
        <f>SUM(F163:G163)</f>
        <v>653370</v>
      </c>
    </row>
    <row r="165" spans="1:8" ht="15.6" x14ac:dyDescent="0.25">
      <c r="A165" s="181">
        <v>1</v>
      </c>
      <c r="B165" s="391" t="s">
        <v>56</v>
      </c>
    </row>
    <row r="166" spans="1:8" ht="31.2" x14ac:dyDescent="0.25">
      <c r="A166" s="195" t="s">
        <v>198</v>
      </c>
      <c r="B166" s="195" t="s">
        <v>199</v>
      </c>
      <c r="C166" s="195" t="s">
        <v>200</v>
      </c>
      <c r="D166" s="195" t="s">
        <v>201</v>
      </c>
      <c r="E166" s="195" t="s">
        <v>202</v>
      </c>
      <c r="F166" s="195" t="s">
        <v>203</v>
      </c>
      <c r="G166" s="181" t="s">
        <v>204</v>
      </c>
      <c r="H166" s="195" t="s">
        <v>205</v>
      </c>
    </row>
    <row r="167" spans="1:8" ht="15.6" x14ac:dyDescent="0.25">
      <c r="A167" s="195"/>
      <c r="B167" s="401" t="s">
        <v>279</v>
      </c>
      <c r="C167" s="402"/>
      <c r="D167" s="402"/>
      <c r="E167" s="402"/>
      <c r="F167" s="402"/>
      <c r="G167" s="402"/>
      <c r="H167" s="403"/>
    </row>
    <row r="168" spans="1:8" ht="15.6" x14ac:dyDescent="0.25">
      <c r="A168" s="195"/>
      <c r="B168" s="414" t="s">
        <v>292</v>
      </c>
      <c r="C168" s="405">
        <v>1</v>
      </c>
      <c r="D168" s="406" t="s">
        <v>164</v>
      </c>
      <c r="E168" s="418">
        <v>800</v>
      </c>
      <c r="F168" s="404">
        <v>0</v>
      </c>
      <c r="G168" s="408">
        <f>+E168+F168</f>
        <v>800</v>
      </c>
      <c r="H168" s="408">
        <f>+C168*G168</f>
        <v>800</v>
      </c>
    </row>
    <row r="169" spans="1:8" ht="15.6" x14ac:dyDescent="0.25">
      <c r="A169" s="519"/>
      <c r="B169" s="519"/>
      <c r="C169" s="519"/>
      <c r="D169" s="519"/>
      <c r="E169" s="519"/>
      <c r="F169" s="389"/>
      <c r="G169" s="389" t="s">
        <v>269</v>
      </c>
      <c r="H169" s="390">
        <f>SUM(H168:H168)</f>
        <v>800</v>
      </c>
    </row>
    <row r="170" spans="1:8" ht="15.6" x14ac:dyDescent="0.3">
      <c r="A170" s="410"/>
      <c r="B170" s="409"/>
      <c r="C170" s="409"/>
      <c r="D170" s="409"/>
      <c r="E170" s="409"/>
      <c r="F170" s="409"/>
      <c r="G170" s="192" t="s">
        <v>282</v>
      </c>
      <c r="H170" s="400">
        <f>+H169</f>
        <v>800</v>
      </c>
    </row>
    <row r="173" spans="1:8" ht="15.6" x14ac:dyDescent="0.25">
      <c r="A173" s="181">
        <v>1</v>
      </c>
      <c r="B173" s="512" t="s">
        <v>293</v>
      </c>
      <c r="C173" s="513"/>
      <c r="D173" s="513"/>
    </row>
    <row r="174" spans="1:8" ht="31.2" x14ac:dyDescent="0.25">
      <c r="A174" s="195" t="s">
        <v>198</v>
      </c>
      <c r="B174" s="195" t="s">
        <v>199</v>
      </c>
      <c r="C174" s="195" t="s">
        <v>200</v>
      </c>
      <c r="D174" s="195" t="s">
        <v>201</v>
      </c>
      <c r="E174" s="195" t="s">
        <v>202</v>
      </c>
      <c r="F174" s="195" t="s">
        <v>203</v>
      </c>
      <c r="G174" s="181" t="s">
        <v>204</v>
      </c>
      <c r="H174" s="195" t="s">
        <v>205</v>
      </c>
    </row>
    <row r="175" spans="1:8" ht="15.6" x14ac:dyDescent="0.25">
      <c r="A175" s="195"/>
      <c r="B175" s="401" t="s">
        <v>279</v>
      </c>
      <c r="C175" s="402"/>
      <c r="D175" s="402"/>
      <c r="E175" s="402"/>
      <c r="F175" s="402"/>
      <c r="G175" s="402"/>
      <c r="H175" s="403"/>
    </row>
    <row r="176" spans="1:8" ht="31.2" x14ac:dyDescent="0.25">
      <c r="A176" s="195"/>
      <c r="B176" s="386" t="s">
        <v>294</v>
      </c>
      <c r="C176" s="405">
        <v>1</v>
      </c>
      <c r="D176" s="406" t="s">
        <v>164</v>
      </c>
      <c r="E176" s="407">
        <v>365</v>
      </c>
      <c r="F176" s="404">
        <f>+E176*0.18</f>
        <v>65.7</v>
      </c>
      <c r="G176" s="408">
        <f>+E176+F176</f>
        <v>430.7</v>
      </c>
      <c r="H176" s="408">
        <f>+C176*G176</f>
        <v>430.7</v>
      </c>
    </row>
    <row r="177" spans="1:8" ht="31.2" x14ac:dyDescent="0.25">
      <c r="A177" s="195"/>
      <c r="B177" s="404" t="s">
        <v>295</v>
      </c>
      <c r="C177" s="405">
        <v>1</v>
      </c>
      <c r="D177" s="406" t="s">
        <v>281</v>
      </c>
      <c r="E177" s="407">
        <v>82.59</v>
      </c>
      <c r="F177" s="404">
        <f>+E177*0.18</f>
        <v>14.866199999999999</v>
      </c>
      <c r="G177" s="408">
        <f>+E177+F177</f>
        <v>97.456199999999995</v>
      </c>
      <c r="H177" s="408">
        <f>+C177*G177</f>
        <v>97.456199999999995</v>
      </c>
    </row>
    <row r="178" spans="1:8" ht="15.6" x14ac:dyDescent="0.25">
      <c r="A178" s="195"/>
      <c r="B178" s="419" t="s">
        <v>228</v>
      </c>
      <c r="C178" s="387">
        <v>1</v>
      </c>
      <c r="D178" s="386" t="s">
        <v>296</v>
      </c>
      <c r="E178" s="387">
        <f>2236.65/50</f>
        <v>44.733000000000004</v>
      </c>
      <c r="F178" s="387">
        <f>+E178*0.18</f>
        <v>8.0519400000000001</v>
      </c>
      <c r="G178" s="408">
        <f>+E178+F178</f>
        <v>52.784940000000006</v>
      </c>
      <c r="H178" s="387">
        <f>+G178*C178</f>
        <v>52.784940000000006</v>
      </c>
    </row>
    <row r="179" spans="1:8" ht="15.6" x14ac:dyDescent="0.25">
      <c r="A179" s="519"/>
      <c r="B179" s="519"/>
      <c r="C179" s="519"/>
      <c r="D179" s="519"/>
      <c r="E179" s="519"/>
      <c r="F179" s="389"/>
      <c r="G179" s="389" t="s">
        <v>269</v>
      </c>
      <c r="H179" s="389">
        <f>SUM(H176:H178)</f>
        <v>580.94114000000002</v>
      </c>
    </row>
    <row r="180" spans="1:8" ht="15.6" x14ac:dyDescent="0.3">
      <c r="A180" s="410"/>
      <c r="B180" s="409"/>
      <c r="C180" s="409"/>
      <c r="D180" s="409"/>
      <c r="E180" s="409"/>
      <c r="F180" s="409"/>
      <c r="G180" s="192" t="s">
        <v>282</v>
      </c>
      <c r="H180" s="400">
        <f>+H179</f>
        <v>580.94114000000002</v>
      </c>
    </row>
    <row r="182" spans="1:8" ht="15.6" x14ac:dyDescent="0.25">
      <c r="A182" s="181">
        <v>1</v>
      </c>
      <c r="B182" s="391" t="s">
        <v>17</v>
      </c>
    </row>
    <row r="183" spans="1:8" ht="31.2" x14ac:dyDescent="0.25">
      <c r="A183" s="195" t="s">
        <v>198</v>
      </c>
      <c r="B183" s="195" t="s">
        <v>199</v>
      </c>
      <c r="C183" s="195" t="s">
        <v>200</v>
      </c>
      <c r="D183" s="195" t="s">
        <v>201</v>
      </c>
      <c r="E183" s="195" t="s">
        <v>202</v>
      </c>
      <c r="F183" s="195" t="s">
        <v>203</v>
      </c>
      <c r="G183" s="181" t="s">
        <v>204</v>
      </c>
      <c r="H183" s="195" t="s">
        <v>205</v>
      </c>
    </row>
    <row r="184" spans="1:8" ht="15.6" x14ac:dyDescent="0.25">
      <c r="A184" s="195"/>
      <c r="B184" s="521" t="s">
        <v>272</v>
      </c>
      <c r="C184" s="522"/>
      <c r="D184" s="522"/>
      <c r="E184" s="522"/>
      <c r="F184" s="522"/>
      <c r="G184" s="522"/>
      <c r="H184" s="523"/>
    </row>
    <row r="185" spans="1:8" ht="15.6" x14ac:dyDescent="0.25">
      <c r="A185" s="195"/>
      <c r="B185" s="393" t="s">
        <v>297</v>
      </c>
      <c r="C185" s="420">
        <f>15.22/25</f>
        <v>0.60880000000000001</v>
      </c>
      <c r="D185" s="395" t="s">
        <v>298</v>
      </c>
      <c r="E185" s="396">
        <v>25.5</v>
      </c>
      <c r="F185" s="396">
        <f>+E185*0.18</f>
        <v>4.59</v>
      </c>
      <c r="G185" s="396">
        <f>+E185+F185</f>
        <v>30.09</v>
      </c>
      <c r="H185" s="396">
        <f>+G185*C185</f>
        <v>18.318791999999998</v>
      </c>
    </row>
    <row r="186" spans="1:8" ht="15.6" x14ac:dyDescent="0.25">
      <c r="A186" s="195"/>
      <c r="B186" s="393" t="s">
        <v>299</v>
      </c>
      <c r="C186" s="420">
        <v>30</v>
      </c>
      <c r="D186" s="395" t="s">
        <v>300</v>
      </c>
      <c r="E186" s="396">
        <v>0</v>
      </c>
      <c r="F186" s="396">
        <f>+E186*0.18</f>
        <v>0</v>
      </c>
      <c r="G186" s="396">
        <f>+E186+F186</f>
        <v>0</v>
      </c>
      <c r="H186" s="396">
        <f>+G186*C186</f>
        <v>0</v>
      </c>
    </row>
    <row r="187" spans="1:8" ht="15.6" x14ac:dyDescent="0.25">
      <c r="A187" s="195"/>
      <c r="B187" s="421" t="s">
        <v>301</v>
      </c>
      <c r="C187" s="422"/>
      <c r="D187" s="422"/>
      <c r="E187" s="422"/>
      <c r="F187" s="422"/>
      <c r="G187" s="422"/>
      <c r="H187" s="422"/>
    </row>
    <row r="188" spans="1:8" ht="15.6" x14ac:dyDescent="0.25">
      <c r="A188" s="195"/>
      <c r="B188" s="393" t="s">
        <v>302</v>
      </c>
      <c r="C188" s="420">
        <f>3/8</f>
        <v>0.375</v>
      </c>
      <c r="D188" s="395" t="s">
        <v>244</v>
      </c>
      <c r="E188" s="396">
        <v>700</v>
      </c>
      <c r="F188" s="396"/>
      <c r="G188" s="396"/>
      <c r="H188" s="396">
        <f>+C188*E188</f>
        <v>262.5</v>
      </c>
    </row>
    <row r="189" spans="1:8" ht="15.6" x14ac:dyDescent="0.25">
      <c r="A189" s="195"/>
      <c r="B189" s="393" t="s">
        <v>265</v>
      </c>
      <c r="C189" s="423">
        <f>1/8</f>
        <v>0.125</v>
      </c>
      <c r="D189" s="395" t="s">
        <v>244</v>
      </c>
      <c r="E189" s="396">
        <v>1600</v>
      </c>
      <c r="F189" s="396"/>
      <c r="G189" s="396"/>
      <c r="H189" s="396">
        <f>+C189*E189</f>
        <v>200</v>
      </c>
    </row>
    <row r="190" spans="1:8" ht="15.6" x14ac:dyDescent="0.25">
      <c r="A190" s="195"/>
      <c r="B190" s="424" t="s">
        <v>279</v>
      </c>
      <c r="C190" s="425"/>
      <c r="D190" s="425"/>
      <c r="E190" s="425"/>
      <c r="F190" s="425"/>
      <c r="G190" s="425"/>
      <c r="H190" s="426"/>
    </row>
    <row r="191" spans="1:8" ht="15.6" x14ac:dyDescent="0.25">
      <c r="A191" s="195"/>
      <c r="B191" s="393" t="s">
        <v>303</v>
      </c>
      <c r="C191" s="427">
        <v>1</v>
      </c>
      <c r="D191" s="395" t="s">
        <v>304</v>
      </c>
      <c r="E191" s="396">
        <v>1600</v>
      </c>
      <c r="F191" s="396">
        <f>+E191*0.18</f>
        <v>288</v>
      </c>
      <c r="G191" s="396">
        <f>+E191+F191</f>
        <v>1888</v>
      </c>
      <c r="H191" s="397">
        <f>+G191*C191</f>
        <v>1888</v>
      </c>
    </row>
    <row r="192" spans="1:8" ht="15.6" x14ac:dyDescent="0.25">
      <c r="A192" s="195"/>
      <c r="B192" s="393" t="s">
        <v>305</v>
      </c>
      <c r="C192" s="427">
        <v>1</v>
      </c>
      <c r="D192" s="395" t="s">
        <v>304</v>
      </c>
      <c r="E192" s="396">
        <v>2000</v>
      </c>
      <c r="F192" s="396">
        <f>+E192*0.18</f>
        <v>360</v>
      </c>
      <c r="G192" s="396">
        <f>+E192+F192</f>
        <v>2360</v>
      </c>
      <c r="H192" s="397">
        <f>1350*C192%</f>
        <v>13.5</v>
      </c>
    </row>
    <row r="193" spans="1:8" ht="15.6" x14ac:dyDescent="0.25">
      <c r="A193" s="195"/>
      <c r="B193" s="424" t="s">
        <v>306</v>
      </c>
      <c r="C193" s="425"/>
      <c r="D193" s="425"/>
      <c r="E193" s="425"/>
      <c r="F193" s="425"/>
      <c r="G193" s="425"/>
      <c r="H193" s="426"/>
    </row>
    <row r="194" spans="1:8" ht="15.6" x14ac:dyDescent="0.25">
      <c r="A194" s="195"/>
      <c r="B194" s="393" t="s">
        <v>307</v>
      </c>
      <c r="C194" s="427">
        <v>10</v>
      </c>
      <c r="D194" s="395" t="s">
        <v>308</v>
      </c>
      <c r="E194" s="396">
        <v>240</v>
      </c>
      <c r="F194" s="396">
        <f>+E194*0.18</f>
        <v>43.199999999999996</v>
      </c>
      <c r="G194" s="396">
        <f>+E194+F194</f>
        <v>283.2</v>
      </c>
      <c r="H194" s="397">
        <f>+G194*C194</f>
        <v>2832</v>
      </c>
    </row>
    <row r="195" spans="1:8" ht="15.6" x14ac:dyDescent="0.25">
      <c r="A195" s="195"/>
      <c r="B195" s="393" t="s">
        <v>309</v>
      </c>
      <c r="C195" s="394">
        <v>0.2</v>
      </c>
      <c r="D195" s="395" t="s">
        <v>310</v>
      </c>
      <c r="E195" s="396">
        <f>G195-F195</f>
        <v>48</v>
      </c>
      <c r="F195" s="396">
        <f>((G195)-(G195/1.18))</f>
        <v>8.64</v>
      </c>
      <c r="G195" s="396">
        <f>G194*C195</f>
        <v>56.64</v>
      </c>
      <c r="H195" s="397">
        <f>G195/32</f>
        <v>1.77</v>
      </c>
    </row>
    <row r="196" spans="1:8" ht="15.6" x14ac:dyDescent="0.25">
      <c r="A196" s="524" t="s">
        <v>311</v>
      </c>
      <c r="B196" s="524"/>
      <c r="C196" s="524"/>
      <c r="D196" s="524"/>
      <c r="E196" s="524"/>
      <c r="F196" s="398"/>
      <c r="G196" s="398" t="s">
        <v>219</v>
      </c>
      <c r="H196" s="399">
        <f>SUM(H185:H195)</f>
        <v>5216.0887920000005</v>
      </c>
    </row>
    <row r="197" spans="1:8" ht="15.6" x14ac:dyDescent="0.25">
      <c r="A197" s="367"/>
      <c r="B197" s="367"/>
      <c r="C197" s="367"/>
      <c r="D197" s="367"/>
      <c r="E197" s="367"/>
      <c r="F197" s="367"/>
      <c r="G197" s="192" t="s">
        <v>277</v>
      </c>
      <c r="H197" s="400">
        <f>H196/C186*1.3</f>
        <v>226.03051432000004</v>
      </c>
    </row>
    <row r="200" spans="1:8" ht="15.6" x14ac:dyDescent="0.25">
      <c r="A200" s="181">
        <v>1</v>
      </c>
      <c r="B200" s="391" t="s">
        <v>312</v>
      </c>
    </row>
    <row r="201" spans="1:8" ht="31.2" x14ac:dyDescent="0.25">
      <c r="A201" s="195" t="s">
        <v>198</v>
      </c>
      <c r="B201" s="195" t="s">
        <v>199</v>
      </c>
      <c r="C201" s="195" t="s">
        <v>200</v>
      </c>
      <c r="D201" s="195" t="s">
        <v>201</v>
      </c>
      <c r="E201" s="195" t="s">
        <v>202</v>
      </c>
      <c r="F201" s="195" t="s">
        <v>203</v>
      </c>
      <c r="G201" s="181" t="s">
        <v>204</v>
      </c>
      <c r="H201" s="195" t="s">
        <v>205</v>
      </c>
    </row>
    <row r="202" spans="1:8" ht="15.6" x14ac:dyDescent="0.25">
      <c r="A202" s="195"/>
      <c r="B202" s="401" t="s">
        <v>279</v>
      </c>
      <c r="C202" s="402"/>
      <c r="D202" s="402"/>
      <c r="E202" s="402"/>
      <c r="F202" s="402"/>
      <c r="G202" s="402"/>
      <c r="H202" s="403"/>
    </row>
    <row r="203" spans="1:8" ht="31.2" x14ac:dyDescent="0.3">
      <c r="A203" s="195"/>
      <c r="B203" s="414" t="s">
        <v>313</v>
      </c>
      <c r="C203" s="428">
        <v>1</v>
      </c>
      <c r="D203" s="429" t="s">
        <v>296</v>
      </c>
      <c r="E203" s="430">
        <f>3124.14/50</f>
        <v>62.482799999999997</v>
      </c>
      <c r="F203" s="404">
        <f>+E203*0.18</f>
        <v>11.246903999999999</v>
      </c>
      <c r="G203" s="408">
        <f>+E203+F203</f>
        <v>73.729703999999998</v>
      </c>
      <c r="H203" s="408">
        <f>+C203*G203</f>
        <v>73.729703999999998</v>
      </c>
    </row>
    <row r="204" spans="1:8" ht="31.2" x14ac:dyDescent="0.3">
      <c r="A204" s="195"/>
      <c r="B204" s="431" t="s">
        <v>280</v>
      </c>
      <c r="C204" s="428">
        <v>1</v>
      </c>
      <c r="D204" s="429" t="s">
        <v>281</v>
      </c>
      <c r="E204" s="430">
        <v>82.59</v>
      </c>
      <c r="F204" s="404">
        <f>+E204*0.18</f>
        <v>14.866199999999999</v>
      </c>
      <c r="G204" s="408">
        <f>+E204+F204</f>
        <v>97.456199999999995</v>
      </c>
      <c r="H204" s="408">
        <f>+C204*G204</f>
        <v>97.456199999999995</v>
      </c>
    </row>
    <row r="205" spans="1:8" ht="15.6" x14ac:dyDescent="0.3">
      <c r="A205" s="195"/>
      <c r="B205" s="409" t="s">
        <v>228</v>
      </c>
      <c r="C205" s="387">
        <v>1</v>
      </c>
      <c r="D205" s="386" t="s">
        <v>296</v>
      </c>
      <c r="E205" s="201">
        <f>2236.65/50</f>
        <v>44.733000000000004</v>
      </c>
      <c r="F205" s="201">
        <f>+E205*0.18</f>
        <v>8.0519400000000001</v>
      </c>
      <c r="G205" s="408">
        <f>+E205+F205</f>
        <v>52.784940000000006</v>
      </c>
      <c r="H205" s="201">
        <f>+G205*C205</f>
        <v>52.784940000000006</v>
      </c>
    </row>
    <row r="206" spans="1:8" ht="15.6" x14ac:dyDescent="0.25">
      <c r="A206" s="519"/>
      <c r="B206" s="519"/>
      <c r="C206" s="519"/>
      <c r="D206" s="519"/>
      <c r="E206" s="519"/>
      <c r="F206" s="389"/>
      <c r="G206" s="389" t="s">
        <v>269</v>
      </c>
      <c r="H206" s="390">
        <f>SUM(H203:H205)</f>
        <v>223.970844</v>
      </c>
    </row>
    <row r="207" spans="1:8" ht="15.6" x14ac:dyDescent="0.3">
      <c r="A207" s="410"/>
      <c r="B207" s="409"/>
      <c r="C207" s="409"/>
      <c r="D207" s="409"/>
      <c r="E207" s="409"/>
      <c r="F207" s="409"/>
      <c r="G207" s="192" t="s">
        <v>282</v>
      </c>
      <c r="H207" s="400">
        <f>+H206</f>
        <v>223.970844</v>
      </c>
    </row>
    <row r="210" spans="1:8" ht="31.2" x14ac:dyDescent="0.25">
      <c r="A210" s="432" t="s">
        <v>314</v>
      </c>
      <c r="B210" s="432" t="s">
        <v>315</v>
      </c>
      <c r="C210" s="432"/>
      <c r="D210" s="432"/>
      <c r="E210" s="432"/>
      <c r="F210" s="432"/>
      <c r="G210" s="432"/>
      <c r="H210" s="432"/>
    </row>
    <row r="211" spans="1:8" ht="31.2" x14ac:dyDescent="0.25">
      <c r="A211" s="433" t="s">
        <v>198</v>
      </c>
      <c r="B211" s="433" t="s">
        <v>199</v>
      </c>
      <c r="C211" s="433" t="s">
        <v>200</v>
      </c>
      <c r="D211" s="433" t="s">
        <v>201</v>
      </c>
      <c r="E211" s="433" t="s">
        <v>202</v>
      </c>
      <c r="F211" s="433" t="s">
        <v>203</v>
      </c>
      <c r="G211" s="433" t="s">
        <v>204</v>
      </c>
      <c r="H211" s="433" t="s">
        <v>205</v>
      </c>
    </row>
    <row r="212" spans="1:8" ht="15.6" x14ac:dyDescent="0.25">
      <c r="A212" s="433">
        <v>1</v>
      </c>
      <c r="B212" s="434" t="s">
        <v>316</v>
      </c>
      <c r="C212" s="435">
        <v>1</v>
      </c>
      <c r="D212" s="436" t="s">
        <v>317</v>
      </c>
      <c r="E212" s="437">
        <f>1260.45*1.05</f>
        <v>1323.4725000000001</v>
      </c>
      <c r="F212" s="438">
        <f>+E212*0.18</f>
        <v>238.22505000000001</v>
      </c>
      <c r="G212" s="438">
        <f>+E212+F212</f>
        <v>1561.6975500000001</v>
      </c>
      <c r="H212" s="439">
        <f>+G212*C212</f>
        <v>1561.6975500000001</v>
      </c>
    </row>
    <row r="213" spans="1:8" ht="16.2" thickBot="1" x14ac:dyDescent="0.3">
      <c r="A213" s="433">
        <v>2</v>
      </c>
      <c r="B213" s="434" t="s">
        <v>318</v>
      </c>
      <c r="C213" s="435">
        <v>1</v>
      </c>
      <c r="D213" s="436" t="s">
        <v>24</v>
      </c>
      <c r="E213" s="437">
        <v>15</v>
      </c>
      <c r="F213" s="438"/>
      <c r="G213" s="438">
        <f>+E213+F213</f>
        <v>15</v>
      </c>
      <c r="H213" s="439">
        <f>+G213*C213</f>
        <v>15</v>
      </c>
    </row>
    <row r="214" spans="1:8" ht="16.2" thickBot="1" x14ac:dyDescent="0.3">
      <c r="A214" s="525"/>
      <c r="B214" s="525"/>
      <c r="C214" s="525"/>
      <c r="D214" s="525"/>
      <c r="E214" s="525"/>
      <c r="F214" s="440"/>
      <c r="G214" s="441" t="s">
        <v>246</v>
      </c>
      <c r="H214" s="442">
        <f>SUM(H212:H213)</f>
        <v>1576.6975500000001</v>
      </c>
    </row>
    <row r="216" spans="1:8" ht="15.6" x14ac:dyDescent="0.3">
      <c r="A216" s="443" t="s">
        <v>213</v>
      </c>
      <c r="B216" s="444" t="s">
        <v>215</v>
      </c>
      <c r="C216" s="444" t="s">
        <v>216</v>
      </c>
      <c r="D216" s="444" t="s">
        <v>319</v>
      </c>
      <c r="E216" s="444" t="s">
        <v>320</v>
      </c>
    </row>
    <row r="217" spans="1:8" ht="15" x14ac:dyDescent="0.25">
      <c r="A217" s="445" t="s">
        <v>321</v>
      </c>
      <c r="B217" s="446" t="s">
        <v>322</v>
      </c>
      <c r="C217" s="447">
        <v>75</v>
      </c>
      <c r="D217" s="448">
        <v>25.11</v>
      </c>
      <c r="E217" s="447">
        <v>0</v>
      </c>
    </row>
    <row r="219" spans="1:8" ht="31.2" x14ac:dyDescent="0.25">
      <c r="A219" s="432" t="s">
        <v>314</v>
      </c>
      <c r="B219" s="432" t="s">
        <v>323</v>
      </c>
      <c r="C219" s="432"/>
      <c r="D219" s="432"/>
      <c r="E219" s="432"/>
      <c r="F219" s="432"/>
      <c r="G219" s="432"/>
      <c r="H219" s="432"/>
    </row>
    <row r="220" spans="1:8" ht="31.2" x14ac:dyDescent="0.25">
      <c r="A220" s="433" t="s">
        <v>198</v>
      </c>
      <c r="B220" s="433" t="s">
        <v>199</v>
      </c>
      <c r="C220" s="433" t="s">
        <v>200</v>
      </c>
      <c r="D220" s="433" t="s">
        <v>201</v>
      </c>
      <c r="E220" s="433" t="s">
        <v>202</v>
      </c>
      <c r="F220" s="433" t="s">
        <v>203</v>
      </c>
      <c r="G220" s="433" t="s">
        <v>204</v>
      </c>
      <c r="H220" s="433" t="s">
        <v>205</v>
      </c>
    </row>
    <row r="221" spans="1:8" ht="15.6" x14ac:dyDescent="0.25">
      <c r="A221" s="433">
        <v>1</v>
      </c>
      <c r="B221" s="434" t="s">
        <v>324</v>
      </c>
      <c r="C221" s="435">
        <v>1</v>
      </c>
      <c r="D221" s="436" t="s">
        <v>317</v>
      </c>
      <c r="E221" s="437">
        <v>1250</v>
      </c>
      <c r="F221" s="438">
        <f>+E221*0.18</f>
        <v>225</v>
      </c>
      <c r="G221" s="438">
        <f>+E221+F221</f>
        <v>1475</v>
      </c>
      <c r="H221" s="439">
        <f>+G221*C221</f>
        <v>1475</v>
      </c>
    </row>
    <row r="222" spans="1:8" ht="16.2" thickBot="1" x14ac:dyDescent="0.3">
      <c r="A222" s="433">
        <v>2</v>
      </c>
      <c r="B222" s="434" t="s">
        <v>318</v>
      </c>
      <c r="C222" s="435">
        <v>1</v>
      </c>
      <c r="D222" s="436" t="s">
        <v>24</v>
      </c>
      <c r="E222" s="437">
        <v>15</v>
      </c>
      <c r="F222" s="438"/>
      <c r="G222" s="438">
        <f>+E222+F222</f>
        <v>15</v>
      </c>
      <c r="H222" s="439">
        <f>+G222*C222</f>
        <v>15</v>
      </c>
    </row>
    <row r="223" spans="1:8" ht="16.2" thickBot="1" x14ac:dyDescent="0.3">
      <c r="A223" s="525"/>
      <c r="B223" s="525"/>
      <c r="C223" s="525"/>
      <c r="D223" s="525"/>
      <c r="E223" s="525"/>
      <c r="F223" s="440"/>
      <c r="G223" s="441" t="s">
        <v>246</v>
      </c>
      <c r="H223" s="442">
        <f>SUM(H221:H222)</f>
        <v>1490</v>
      </c>
    </row>
    <row r="225" spans="1:8" ht="15.6" x14ac:dyDescent="0.3">
      <c r="A225" s="443" t="s">
        <v>213</v>
      </c>
      <c r="B225" s="444" t="s">
        <v>215</v>
      </c>
      <c r="C225" s="444" t="s">
        <v>216</v>
      </c>
      <c r="D225" s="444" t="s">
        <v>319</v>
      </c>
      <c r="E225" s="444" t="s">
        <v>320</v>
      </c>
    </row>
    <row r="226" spans="1:8" ht="15" x14ac:dyDescent="0.25">
      <c r="A226" s="445" t="s">
        <v>325</v>
      </c>
      <c r="B226" s="446" t="s">
        <v>322</v>
      </c>
      <c r="C226" s="447">
        <v>70.61</v>
      </c>
      <c r="D226" s="448">
        <v>25.11</v>
      </c>
      <c r="E226" s="447">
        <v>0</v>
      </c>
    </row>
    <row r="228" spans="1:8" ht="31.2" x14ac:dyDescent="0.25">
      <c r="A228" s="432" t="s">
        <v>314</v>
      </c>
      <c r="B228" s="432" t="s">
        <v>326</v>
      </c>
      <c r="C228" s="432"/>
      <c r="D228" s="432"/>
      <c r="E228" s="432"/>
      <c r="F228" s="432"/>
      <c r="G228" s="432"/>
      <c r="H228" s="432"/>
    </row>
    <row r="229" spans="1:8" ht="31.2" x14ac:dyDescent="0.25">
      <c r="A229" s="433" t="s">
        <v>198</v>
      </c>
      <c r="B229" s="433" t="s">
        <v>199</v>
      </c>
      <c r="C229" s="433" t="s">
        <v>200</v>
      </c>
      <c r="D229" s="433" t="s">
        <v>201</v>
      </c>
      <c r="E229" s="433" t="s">
        <v>202</v>
      </c>
      <c r="F229" s="433" t="s">
        <v>203</v>
      </c>
      <c r="G229" s="433" t="s">
        <v>204</v>
      </c>
      <c r="H229" s="433" t="s">
        <v>205</v>
      </c>
    </row>
    <row r="230" spans="1:8" ht="15.6" x14ac:dyDescent="0.25">
      <c r="A230" s="433">
        <v>1</v>
      </c>
      <c r="B230" s="434" t="s">
        <v>327</v>
      </c>
      <c r="C230" s="435">
        <v>1</v>
      </c>
      <c r="D230" s="436" t="s">
        <v>317</v>
      </c>
      <c r="E230" s="437">
        <v>1100</v>
      </c>
      <c r="F230" s="438">
        <f>+E230*0.18</f>
        <v>198</v>
      </c>
      <c r="G230" s="438">
        <f>+E230+F230</f>
        <v>1298</v>
      </c>
      <c r="H230" s="439">
        <f>+G230*C230</f>
        <v>1298</v>
      </c>
    </row>
    <row r="231" spans="1:8" ht="16.2" thickBot="1" x14ac:dyDescent="0.3">
      <c r="A231" s="433">
        <v>2</v>
      </c>
      <c r="B231" s="434" t="s">
        <v>318</v>
      </c>
      <c r="C231" s="435">
        <v>1</v>
      </c>
      <c r="D231" s="436" t="s">
        <v>24</v>
      </c>
      <c r="E231" s="437">
        <v>15</v>
      </c>
      <c r="F231" s="438"/>
      <c r="G231" s="438">
        <f>+E231+F231</f>
        <v>15</v>
      </c>
      <c r="H231" s="439">
        <f>+G231*C231</f>
        <v>15</v>
      </c>
    </row>
    <row r="232" spans="1:8" ht="16.2" thickBot="1" x14ac:dyDescent="0.3">
      <c r="A232" s="525"/>
      <c r="B232" s="525"/>
      <c r="C232" s="525"/>
      <c r="D232" s="525"/>
      <c r="E232" s="525"/>
      <c r="F232" s="440"/>
      <c r="G232" s="441" t="s">
        <v>246</v>
      </c>
      <c r="H232" s="442">
        <f>SUM(H230:H231)</f>
        <v>1313</v>
      </c>
    </row>
    <row r="234" spans="1:8" ht="15.6" x14ac:dyDescent="0.3">
      <c r="A234" s="443" t="s">
        <v>213</v>
      </c>
      <c r="B234" s="444" t="s">
        <v>215</v>
      </c>
      <c r="C234" s="444" t="s">
        <v>216</v>
      </c>
      <c r="D234" s="444" t="s">
        <v>319</v>
      </c>
      <c r="E234" s="444" t="s">
        <v>320</v>
      </c>
    </row>
    <row r="235" spans="1:8" ht="15" x14ac:dyDescent="0.25">
      <c r="A235" s="445" t="s">
        <v>328</v>
      </c>
      <c r="B235" s="446" t="s">
        <v>322</v>
      </c>
      <c r="C235" s="447">
        <v>63</v>
      </c>
      <c r="D235" s="448">
        <v>25.11</v>
      </c>
      <c r="E235" s="447">
        <v>0</v>
      </c>
    </row>
    <row r="237" spans="1:8" ht="31.2" x14ac:dyDescent="0.25">
      <c r="A237" s="432" t="s">
        <v>314</v>
      </c>
      <c r="B237" s="432" t="s">
        <v>329</v>
      </c>
      <c r="C237" s="432"/>
      <c r="D237" s="432"/>
      <c r="E237" s="432"/>
      <c r="F237" s="432"/>
      <c r="G237" s="432"/>
      <c r="H237" s="432"/>
    </row>
    <row r="238" spans="1:8" ht="31.2" x14ac:dyDescent="0.25">
      <c r="A238" s="433" t="s">
        <v>198</v>
      </c>
      <c r="B238" s="433" t="s">
        <v>199</v>
      </c>
      <c r="C238" s="433" t="s">
        <v>200</v>
      </c>
      <c r="D238" s="433" t="s">
        <v>201</v>
      </c>
      <c r="E238" s="433" t="s">
        <v>202</v>
      </c>
      <c r="F238" s="433" t="s">
        <v>203</v>
      </c>
      <c r="G238" s="433" t="s">
        <v>204</v>
      </c>
      <c r="H238" s="433" t="s">
        <v>205</v>
      </c>
    </row>
    <row r="239" spans="1:8" ht="15.6" x14ac:dyDescent="0.25">
      <c r="A239" s="433">
        <v>1</v>
      </c>
      <c r="B239" s="434" t="s">
        <v>330</v>
      </c>
      <c r="C239" s="435">
        <v>1</v>
      </c>
      <c r="D239" s="436" t="s">
        <v>317</v>
      </c>
      <c r="E239" s="437">
        <v>995</v>
      </c>
      <c r="F239" s="438">
        <f>+E239*0.18</f>
        <v>179.1</v>
      </c>
      <c r="G239" s="438">
        <f>+E239+F239</f>
        <v>1174.0999999999999</v>
      </c>
      <c r="H239" s="439">
        <f>+G239*C239</f>
        <v>1174.0999999999999</v>
      </c>
    </row>
    <row r="240" spans="1:8" ht="16.2" thickBot="1" x14ac:dyDescent="0.3">
      <c r="A240" s="433">
        <v>2</v>
      </c>
      <c r="B240" s="434" t="s">
        <v>318</v>
      </c>
      <c r="C240" s="435">
        <v>1</v>
      </c>
      <c r="D240" s="436" t="s">
        <v>24</v>
      </c>
      <c r="E240" s="437">
        <v>15</v>
      </c>
      <c r="F240" s="438"/>
      <c r="G240" s="438">
        <f>+E240+F240</f>
        <v>15</v>
      </c>
      <c r="H240" s="439">
        <f>+G240*C240</f>
        <v>15</v>
      </c>
    </row>
    <row r="241" spans="1:8" ht="16.2" thickBot="1" x14ac:dyDescent="0.3">
      <c r="A241" s="525"/>
      <c r="B241" s="525"/>
      <c r="C241" s="525"/>
      <c r="D241" s="525"/>
      <c r="E241" s="525"/>
      <c r="F241" s="440"/>
      <c r="G241" s="441" t="s">
        <v>246</v>
      </c>
      <c r="H241" s="442">
        <f>SUM(H239:H240)</f>
        <v>1189.0999999999999</v>
      </c>
    </row>
    <row r="243" spans="1:8" ht="15.6" x14ac:dyDescent="0.3">
      <c r="A243" s="443" t="s">
        <v>213</v>
      </c>
      <c r="B243" s="444" t="s">
        <v>215</v>
      </c>
      <c r="C243" s="444" t="s">
        <v>216</v>
      </c>
      <c r="D243" s="444" t="s">
        <v>319</v>
      </c>
      <c r="E243" s="444" t="s">
        <v>320</v>
      </c>
    </row>
    <row r="244" spans="1:8" ht="15" x14ac:dyDescent="0.25">
      <c r="A244" s="445" t="s">
        <v>331</v>
      </c>
      <c r="B244" s="446" t="s">
        <v>322</v>
      </c>
      <c r="C244" s="447">
        <v>55</v>
      </c>
      <c r="D244" s="448">
        <v>25.11</v>
      </c>
      <c r="E244" s="447">
        <v>0</v>
      </c>
    </row>
    <row r="245" spans="1:8" ht="15.6" x14ac:dyDescent="0.3">
      <c r="A245" s="214" t="s">
        <v>332</v>
      </c>
    </row>
    <row r="246" spans="1:8" ht="15.6" x14ac:dyDescent="0.3">
      <c r="A246" s="443" t="s">
        <v>213</v>
      </c>
      <c r="B246" s="444" t="s">
        <v>215</v>
      </c>
      <c r="C246" s="444" t="s">
        <v>216</v>
      </c>
      <c r="D246" s="449" t="s">
        <v>319</v>
      </c>
      <c r="E246" s="450"/>
    </row>
    <row r="247" spans="1:8" ht="15" x14ac:dyDescent="0.25">
      <c r="A247" s="445" t="s">
        <v>321</v>
      </c>
      <c r="B247" s="446" t="s">
        <v>322</v>
      </c>
      <c r="C247" s="447">
        <v>35</v>
      </c>
      <c r="D247" s="451">
        <v>25.11</v>
      </c>
      <c r="E247" s="215"/>
    </row>
    <row r="248" spans="1:8" ht="15" x14ac:dyDescent="0.25">
      <c r="A248" s="445" t="s">
        <v>325</v>
      </c>
      <c r="B248" s="446" t="s">
        <v>322</v>
      </c>
      <c r="C248" s="447">
        <v>30</v>
      </c>
      <c r="D248" s="451">
        <v>25.11</v>
      </c>
    </row>
    <row r="249" spans="1:8" ht="15" x14ac:dyDescent="0.25">
      <c r="A249" s="445" t="s">
        <v>328</v>
      </c>
      <c r="B249" s="446" t="s">
        <v>322</v>
      </c>
      <c r="C249" s="447">
        <v>25</v>
      </c>
      <c r="D249" s="451">
        <v>25.11</v>
      </c>
    </row>
    <row r="250" spans="1:8" ht="15" x14ac:dyDescent="0.25">
      <c r="A250" s="445" t="s">
        <v>331</v>
      </c>
      <c r="B250" s="446" t="s">
        <v>322</v>
      </c>
      <c r="C250" s="447">
        <v>20</v>
      </c>
      <c r="D250" s="451">
        <v>25.11</v>
      </c>
    </row>
    <row r="252" spans="1:8" ht="15.6" x14ac:dyDescent="0.25">
      <c r="A252" s="181"/>
      <c r="B252" s="512" t="s">
        <v>333</v>
      </c>
      <c r="C252" s="513"/>
    </row>
    <row r="253" spans="1:8" ht="31.2" x14ac:dyDescent="0.25">
      <c r="A253" s="195" t="s">
        <v>198</v>
      </c>
      <c r="B253" s="195" t="s">
        <v>199</v>
      </c>
      <c r="C253" s="195" t="s">
        <v>200</v>
      </c>
      <c r="D253" s="195" t="s">
        <v>201</v>
      </c>
      <c r="E253" s="195" t="s">
        <v>202</v>
      </c>
      <c r="F253" s="195" t="s">
        <v>203</v>
      </c>
      <c r="G253" s="181" t="s">
        <v>204</v>
      </c>
      <c r="H253" s="195" t="s">
        <v>205</v>
      </c>
    </row>
    <row r="254" spans="1:8" ht="16.2" thickBot="1" x14ac:dyDescent="0.3">
      <c r="A254" s="195"/>
      <c r="B254" s="349" t="s">
        <v>232</v>
      </c>
      <c r="C254" s="350"/>
      <c r="D254" s="350"/>
      <c r="E254" s="350"/>
      <c r="F254" s="350"/>
      <c r="G254" s="351"/>
      <c r="H254" s="350"/>
    </row>
    <row r="255" spans="1:8" ht="15.6" x14ac:dyDescent="0.25">
      <c r="A255" s="352">
        <v>1</v>
      </c>
      <c r="B255" s="353" t="s">
        <v>334</v>
      </c>
      <c r="C255" s="354">
        <v>1</v>
      </c>
      <c r="D255" s="355" t="s">
        <v>234</v>
      </c>
      <c r="E255" s="356">
        <v>4500</v>
      </c>
      <c r="F255" s="357">
        <f>+E255*0.18</f>
        <v>810</v>
      </c>
      <c r="G255" s="357">
        <f>+E255+F255</f>
        <v>5310</v>
      </c>
      <c r="H255" s="358">
        <f>+G255*C255</f>
        <v>5310</v>
      </c>
    </row>
    <row r="256" spans="1:8" ht="16.2" thickBot="1" x14ac:dyDescent="0.3">
      <c r="A256" s="182"/>
      <c r="B256" s="359"/>
      <c r="C256" s="360"/>
      <c r="D256" s="361"/>
      <c r="E256" s="362"/>
      <c r="F256" s="363"/>
      <c r="G256" s="364" t="s">
        <v>235</v>
      </c>
      <c r="H256" s="365">
        <f>+H255</f>
        <v>5310</v>
      </c>
    </row>
    <row r="257" spans="1:8" ht="15.6" x14ac:dyDescent="0.25">
      <c r="A257" s="182"/>
      <c r="B257" s="366" t="s">
        <v>236</v>
      </c>
      <c r="C257" s="197"/>
      <c r="D257" s="198"/>
      <c r="E257" s="199"/>
      <c r="F257" s="200"/>
      <c r="G257" s="367"/>
      <c r="H257" s="368"/>
    </row>
    <row r="258" spans="1:8" ht="15.6" x14ac:dyDescent="0.25">
      <c r="A258" s="182"/>
      <c r="B258" s="369" t="s">
        <v>237</v>
      </c>
      <c r="C258" s="197"/>
      <c r="D258" s="370"/>
      <c r="E258" s="199"/>
      <c r="F258" s="200"/>
      <c r="G258" s="200"/>
      <c r="H258" s="201"/>
    </row>
    <row r="259" spans="1:8" ht="16.2" thickBot="1" x14ac:dyDescent="0.3">
      <c r="A259" s="182">
        <v>2</v>
      </c>
      <c r="B259" s="371" t="s">
        <v>238</v>
      </c>
      <c r="C259" s="197">
        <v>1</v>
      </c>
      <c r="D259" s="370" t="s">
        <v>239</v>
      </c>
      <c r="E259" s="372"/>
      <c r="F259" s="200"/>
      <c r="G259" s="200"/>
      <c r="H259" s="201">
        <v>250</v>
      </c>
    </row>
    <row r="260" spans="1:8" ht="28.2" thickBot="1" x14ac:dyDescent="0.3">
      <c r="A260" s="182">
        <v>3</v>
      </c>
      <c r="B260" s="371" t="s">
        <v>240</v>
      </c>
      <c r="C260" s="197">
        <v>1</v>
      </c>
      <c r="D260" s="198" t="s">
        <v>241</v>
      </c>
      <c r="E260" s="372"/>
      <c r="F260" s="200"/>
      <c r="G260" s="200"/>
      <c r="H260" s="201">
        <f>+(H255+H259+H262+H263)*C260%</f>
        <v>75.100000000000009</v>
      </c>
    </row>
    <row r="261" spans="1:8" ht="15.6" x14ac:dyDescent="0.25">
      <c r="A261" s="182"/>
      <c r="B261" s="373" t="s">
        <v>242</v>
      </c>
      <c r="C261" s="197"/>
      <c r="D261" s="370"/>
      <c r="E261" s="372"/>
      <c r="F261" s="200"/>
      <c r="G261" s="200"/>
      <c r="H261" s="201"/>
    </row>
    <row r="262" spans="1:8" ht="15.6" x14ac:dyDescent="0.25">
      <c r="A262" s="182">
        <v>4</v>
      </c>
      <c r="B262" s="374" t="s">
        <v>243</v>
      </c>
      <c r="C262" s="375">
        <v>0.5</v>
      </c>
      <c r="D262" s="370" t="s">
        <v>244</v>
      </c>
      <c r="E262" s="372">
        <v>2000</v>
      </c>
      <c r="F262" s="200"/>
      <c r="G262" s="200"/>
      <c r="H262" s="201">
        <f>+E262*C262</f>
        <v>1000</v>
      </c>
    </row>
    <row r="263" spans="1:8" ht="16.2" thickBot="1" x14ac:dyDescent="0.3">
      <c r="A263" s="182">
        <v>5</v>
      </c>
      <c r="B263" s="374" t="s">
        <v>245</v>
      </c>
      <c r="C263" s="376">
        <v>1</v>
      </c>
      <c r="D263" s="370" t="s">
        <v>244</v>
      </c>
      <c r="E263" s="372">
        <v>950</v>
      </c>
      <c r="F263" s="200"/>
      <c r="G263" s="377"/>
      <c r="H263" s="378">
        <f>+E263*C263</f>
        <v>950</v>
      </c>
    </row>
    <row r="264" spans="1:8" ht="16.2" thickBot="1" x14ac:dyDescent="0.3">
      <c r="A264" s="514"/>
      <c r="B264" s="514"/>
      <c r="C264" s="514"/>
      <c r="D264" s="514"/>
      <c r="E264" s="514"/>
      <c r="F264" s="379"/>
      <c r="G264" s="380" t="s">
        <v>246</v>
      </c>
      <c r="H264" s="381">
        <f>SUM(H259:H263)/10</f>
        <v>227.51</v>
      </c>
    </row>
    <row r="265" spans="1:8" ht="15.6" x14ac:dyDescent="0.25">
      <c r="G265" s="382" t="s">
        <v>246</v>
      </c>
      <c r="H265" s="181">
        <f>+H264+H256</f>
        <v>5537.51</v>
      </c>
    </row>
    <row r="268" spans="1:8" ht="15.6" x14ac:dyDescent="0.25">
      <c r="A268" s="181"/>
      <c r="B268" s="512" t="s">
        <v>335</v>
      </c>
      <c r="C268" s="513"/>
    </row>
    <row r="269" spans="1:8" ht="31.2" x14ac:dyDescent="0.25">
      <c r="A269" s="195" t="s">
        <v>198</v>
      </c>
      <c r="B269" s="195" t="s">
        <v>199</v>
      </c>
      <c r="C269" s="195" t="s">
        <v>200</v>
      </c>
      <c r="D269" s="195" t="s">
        <v>201</v>
      </c>
      <c r="E269" s="195" t="s">
        <v>202</v>
      </c>
      <c r="F269" s="195" t="s">
        <v>203</v>
      </c>
      <c r="G269" s="181" t="s">
        <v>204</v>
      </c>
      <c r="H269" s="195" t="s">
        <v>205</v>
      </c>
    </row>
    <row r="270" spans="1:8" ht="16.2" thickBot="1" x14ac:dyDescent="0.3">
      <c r="A270" s="195"/>
      <c r="B270" s="349" t="s">
        <v>232</v>
      </c>
      <c r="C270" s="350"/>
      <c r="D270" s="350"/>
      <c r="E270" s="350"/>
      <c r="F270" s="350"/>
      <c r="G270" s="351"/>
      <c r="H270" s="350"/>
    </row>
    <row r="271" spans="1:8" ht="15.6" x14ac:dyDescent="0.25">
      <c r="A271" s="352">
        <v>1</v>
      </c>
      <c r="B271" s="353" t="s">
        <v>334</v>
      </c>
      <c r="C271" s="354">
        <v>1</v>
      </c>
      <c r="D271" s="355" t="s">
        <v>234</v>
      </c>
      <c r="E271" s="356">
        <v>4500</v>
      </c>
      <c r="F271" s="357">
        <f>+E271*0.18</f>
        <v>810</v>
      </c>
      <c r="G271" s="357">
        <f>+E271+F271</f>
        <v>5310</v>
      </c>
      <c r="H271" s="358">
        <f>+G271*C271</f>
        <v>5310</v>
      </c>
    </row>
    <row r="272" spans="1:8" ht="16.2" thickBot="1" x14ac:dyDescent="0.3">
      <c r="A272" s="182"/>
      <c r="B272" s="359"/>
      <c r="C272" s="360"/>
      <c r="D272" s="361"/>
      <c r="E272" s="362"/>
      <c r="F272" s="363"/>
      <c r="G272" s="364" t="s">
        <v>235</v>
      </c>
      <c r="H272" s="365">
        <f>+H271</f>
        <v>5310</v>
      </c>
    </row>
    <row r="273" spans="1:8" ht="15.6" x14ac:dyDescent="0.25">
      <c r="A273" s="182"/>
      <c r="B273" s="366" t="s">
        <v>236</v>
      </c>
      <c r="C273" s="197"/>
      <c r="D273" s="198"/>
      <c r="E273" s="199"/>
      <c r="F273" s="200"/>
      <c r="G273" s="367"/>
      <c r="H273" s="368"/>
    </row>
    <row r="274" spans="1:8" ht="15.6" x14ac:dyDescent="0.25">
      <c r="A274" s="182"/>
      <c r="B274" s="369" t="s">
        <v>237</v>
      </c>
      <c r="C274" s="197"/>
      <c r="D274" s="370"/>
      <c r="E274" s="199"/>
      <c r="F274" s="200"/>
      <c r="G274" s="200"/>
      <c r="H274" s="201"/>
    </row>
    <row r="275" spans="1:8" ht="16.2" thickBot="1" x14ac:dyDescent="0.3">
      <c r="A275" s="182">
        <v>2</v>
      </c>
      <c r="B275" s="371" t="s">
        <v>238</v>
      </c>
      <c r="C275" s="197">
        <v>1</v>
      </c>
      <c r="D275" s="370" t="s">
        <v>239</v>
      </c>
      <c r="E275" s="372"/>
      <c r="F275" s="200"/>
      <c r="G275" s="200"/>
      <c r="H275" s="201">
        <v>250</v>
      </c>
    </row>
    <row r="276" spans="1:8" ht="28.2" thickBot="1" x14ac:dyDescent="0.3">
      <c r="A276" s="182">
        <v>3</v>
      </c>
      <c r="B276" s="371" t="s">
        <v>240</v>
      </c>
      <c r="C276" s="197">
        <v>1</v>
      </c>
      <c r="D276" s="198" t="s">
        <v>241</v>
      </c>
      <c r="E276" s="372"/>
      <c r="F276" s="200"/>
      <c r="G276" s="200"/>
      <c r="H276" s="201">
        <f>+(H271+H275+H278+H279)*C276%</f>
        <v>75.100000000000009</v>
      </c>
    </row>
    <row r="277" spans="1:8" ht="15.6" x14ac:dyDescent="0.25">
      <c r="A277" s="182"/>
      <c r="B277" s="373" t="s">
        <v>242</v>
      </c>
      <c r="C277" s="197"/>
      <c r="D277" s="370"/>
      <c r="E277" s="372"/>
      <c r="F277" s="200"/>
      <c r="G277" s="200"/>
      <c r="H277" s="201"/>
    </row>
    <row r="278" spans="1:8" ht="15.6" x14ac:dyDescent="0.25">
      <c r="A278" s="182">
        <v>4</v>
      </c>
      <c r="B278" s="374" t="s">
        <v>243</v>
      </c>
      <c r="C278" s="375">
        <v>0.5</v>
      </c>
      <c r="D278" s="370" t="s">
        <v>244</v>
      </c>
      <c r="E278" s="372">
        <v>2000</v>
      </c>
      <c r="F278" s="200"/>
      <c r="G278" s="200"/>
      <c r="H278" s="201">
        <f>+E278*C278</f>
        <v>1000</v>
      </c>
    </row>
    <row r="279" spans="1:8" ht="16.2" thickBot="1" x14ac:dyDescent="0.3">
      <c r="A279" s="182">
        <v>5</v>
      </c>
      <c r="B279" s="374" t="s">
        <v>245</v>
      </c>
      <c r="C279" s="376">
        <v>1</v>
      </c>
      <c r="D279" s="370" t="s">
        <v>244</v>
      </c>
      <c r="E279" s="372">
        <v>950</v>
      </c>
      <c r="F279" s="200"/>
      <c r="G279" s="377"/>
      <c r="H279" s="378">
        <f>+E279*C279</f>
        <v>950</v>
      </c>
    </row>
    <row r="280" spans="1:8" ht="16.2" thickBot="1" x14ac:dyDescent="0.3">
      <c r="A280" s="514"/>
      <c r="B280" s="514"/>
      <c r="C280" s="514"/>
      <c r="D280" s="514"/>
      <c r="E280" s="514"/>
      <c r="F280" s="379"/>
      <c r="G280" s="380" t="s">
        <v>246</v>
      </c>
      <c r="H280" s="381">
        <f>SUM(H275:H279)/10</f>
        <v>227.51</v>
      </c>
    </row>
    <row r="281" spans="1:8" ht="15.6" x14ac:dyDescent="0.25">
      <c r="G281" s="382" t="s">
        <v>246</v>
      </c>
      <c r="H281" s="181">
        <f>+H280+H272</f>
        <v>5537.51</v>
      </c>
    </row>
    <row r="283" spans="1:8" ht="13.8" x14ac:dyDescent="0.25">
      <c r="A283" s="452">
        <v>1</v>
      </c>
      <c r="B283" s="184" t="s">
        <v>336</v>
      </c>
      <c r="C283" s="185">
        <v>1</v>
      </c>
      <c r="D283" s="186" t="s">
        <v>337</v>
      </c>
      <c r="E283" s="187">
        <v>35000</v>
      </c>
      <c r="F283" s="187">
        <f>+E283*0.18</f>
        <v>6300</v>
      </c>
      <c r="G283" s="187">
        <f>+E283+F283</f>
        <v>41300</v>
      </c>
      <c r="H283" s="188">
        <f>C283*G283</f>
        <v>41300</v>
      </c>
    </row>
    <row r="284" spans="1:8" ht="13.8" x14ac:dyDescent="0.25">
      <c r="A284" s="520" t="s">
        <v>338</v>
      </c>
      <c r="B284" s="520"/>
      <c r="C284" s="520"/>
      <c r="D284" s="520"/>
      <c r="E284" s="520"/>
      <c r="F284" s="312"/>
      <c r="G284" s="189"/>
      <c r="H284" s="190">
        <f>SUM(H283:H283)</f>
        <v>41300</v>
      </c>
    </row>
    <row r="285" spans="1:8" ht="17.399999999999999" x14ac:dyDescent="0.3">
      <c r="A285" s="191"/>
      <c r="B285" s="191"/>
      <c r="C285" s="191"/>
      <c r="D285" s="191"/>
      <c r="E285" s="191"/>
      <c r="F285" s="191"/>
      <c r="G285" s="192" t="s">
        <v>339</v>
      </c>
      <c r="H285" s="192">
        <f>+H284</f>
        <v>41300</v>
      </c>
    </row>
    <row r="287" spans="1:8" ht="13.8" x14ac:dyDescent="0.25">
      <c r="A287" s="452">
        <v>1</v>
      </c>
      <c r="B287" s="184" t="s">
        <v>340</v>
      </c>
      <c r="C287" s="185">
        <v>1</v>
      </c>
      <c r="D287" s="186" t="s">
        <v>337</v>
      </c>
      <c r="E287" s="187">
        <v>37500</v>
      </c>
      <c r="F287" s="187">
        <f>+E287*0.18</f>
        <v>6750</v>
      </c>
      <c r="G287" s="187">
        <f>+E287+F287</f>
        <v>44250</v>
      </c>
      <c r="H287" s="188">
        <f>C287*G287</f>
        <v>44250</v>
      </c>
    </row>
    <row r="288" spans="1:8" ht="13.8" x14ac:dyDescent="0.25">
      <c r="A288" s="520" t="s">
        <v>338</v>
      </c>
      <c r="B288" s="520"/>
      <c r="C288" s="520"/>
      <c r="D288" s="520"/>
      <c r="E288" s="520"/>
      <c r="F288" s="312"/>
      <c r="G288" s="189"/>
      <c r="H288" s="190">
        <f>SUM(H287:H287)</f>
        <v>44250</v>
      </c>
    </row>
    <row r="289" spans="1:8" ht="17.399999999999999" x14ac:dyDescent="0.3">
      <c r="A289" s="191"/>
      <c r="B289" s="191"/>
      <c r="C289" s="191"/>
      <c r="D289" s="191"/>
      <c r="E289" s="191"/>
      <c r="F289" s="191"/>
      <c r="G289" s="192" t="s">
        <v>339</v>
      </c>
      <c r="H289" s="192">
        <f>+H288</f>
        <v>44250</v>
      </c>
    </row>
    <row r="292" spans="1:8" ht="13.8" x14ac:dyDescent="0.25">
      <c r="A292" s="452">
        <v>1</v>
      </c>
      <c r="B292" s="184" t="s">
        <v>341</v>
      </c>
      <c r="C292" s="185">
        <v>1</v>
      </c>
      <c r="D292" s="186" t="s">
        <v>337</v>
      </c>
      <c r="E292" s="187">
        <v>32750</v>
      </c>
      <c r="F292" s="187">
        <f>+E292*0.18</f>
        <v>5895</v>
      </c>
      <c r="G292" s="187">
        <f>+E292+F292</f>
        <v>38645</v>
      </c>
      <c r="H292" s="188">
        <f>C292*G292</f>
        <v>38645</v>
      </c>
    </row>
    <row r="293" spans="1:8" ht="13.8" x14ac:dyDescent="0.25">
      <c r="A293" s="520" t="s">
        <v>338</v>
      </c>
      <c r="B293" s="520"/>
      <c r="C293" s="520"/>
      <c r="D293" s="520"/>
      <c r="E293" s="520"/>
      <c r="F293" s="312"/>
      <c r="G293" s="189"/>
      <c r="H293" s="190">
        <f>SUM(H292:H292)</f>
        <v>38645</v>
      </c>
    </row>
    <row r="294" spans="1:8" ht="17.399999999999999" x14ac:dyDescent="0.3">
      <c r="A294" s="191"/>
      <c r="B294" s="191"/>
      <c r="C294" s="191"/>
      <c r="D294" s="191"/>
      <c r="E294" s="191"/>
      <c r="F294" s="191"/>
      <c r="G294" s="192" t="s">
        <v>339</v>
      </c>
      <c r="H294" s="192">
        <f>+H293</f>
        <v>38645</v>
      </c>
    </row>
    <row r="296" spans="1:8" ht="13.8" x14ac:dyDescent="0.25">
      <c r="A296" s="452">
        <v>1</v>
      </c>
      <c r="B296" s="184" t="s">
        <v>342</v>
      </c>
      <c r="C296" s="185">
        <v>1</v>
      </c>
      <c r="D296" s="186" t="s">
        <v>337</v>
      </c>
      <c r="E296" s="187">
        <v>30000</v>
      </c>
      <c r="F296" s="187">
        <f>+E296*0.18</f>
        <v>5400</v>
      </c>
      <c r="G296" s="187">
        <f>+E296+F296</f>
        <v>35400</v>
      </c>
      <c r="H296" s="188">
        <f>C296*G296</f>
        <v>35400</v>
      </c>
    </row>
    <row r="297" spans="1:8" ht="13.8" x14ac:dyDescent="0.25">
      <c r="A297" s="520" t="s">
        <v>338</v>
      </c>
      <c r="B297" s="520"/>
      <c r="C297" s="520"/>
      <c r="D297" s="520"/>
      <c r="E297" s="520"/>
      <c r="F297" s="312"/>
      <c r="G297" s="189"/>
      <c r="H297" s="190">
        <f>SUM(H296:H296)</f>
        <v>35400</v>
      </c>
    </row>
    <row r="298" spans="1:8" ht="17.399999999999999" x14ac:dyDescent="0.3">
      <c r="A298" s="191"/>
      <c r="B298" s="191"/>
      <c r="C298" s="191"/>
      <c r="D298" s="191"/>
      <c r="E298" s="191"/>
      <c r="F298" s="191"/>
      <c r="G298" s="192" t="s">
        <v>339</v>
      </c>
      <c r="H298" s="192">
        <f>+H297</f>
        <v>35400</v>
      </c>
    </row>
    <row r="301" spans="1:8" x14ac:dyDescent="0.25">
      <c r="A301" s="453"/>
      <c r="B301" s="313" t="s">
        <v>343</v>
      </c>
      <c r="D301" s="453"/>
      <c r="E301" s="454"/>
      <c r="F301" s="454"/>
      <c r="G301" s="454"/>
    </row>
    <row r="302" spans="1:8" x14ac:dyDescent="0.25">
      <c r="A302" s="453"/>
      <c r="B302" s="313" t="s">
        <v>344</v>
      </c>
      <c r="D302" s="453"/>
      <c r="E302" s="454"/>
      <c r="F302" s="454"/>
      <c r="G302" s="454"/>
      <c r="H302" s="453"/>
    </row>
    <row r="303" spans="1:8" ht="31.2" x14ac:dyDescent="0.25">
      <c r="A303" s="453"/>
      <c r="B303" s="195" t="s">
        <v>199</v>
      </c>
      <c r="C303" s="195" t="s">
        <v>200</v>
      </c>
      <c r="D303" s="195" t="s">
        <v>201</v>
      </c>
      <c r="E303" s="195" t="s">
        <v>202</v>
      </c>
      <c r="F303" s="195" t="s">
        <v>203</v>
      </c>
      <c r="G303" s="181" t="s">
        <v>204</v>
      </c>
      <c r="H303" s="195" t="s">
        <v>205</v>
      </c>
    </row>
    <row r="304" spans="1:8" x14ac:dyDescent="0.25">
      <c r="A304" s="453" t="s">
        <v>345</v>
      </c>
      <c r="B304" t="s">
        <v>346</v>
      </c>
      <c r="D304" s="453"/>
      <c r="E304" s="454"/>
      <c r="F304" s="454"/>
      <c r="G304" s="454"/>
      <c r="H304" s="453"/>
    </row>
    <row r="305" spans="1:8" x14ac:dyDescent="0.25">
      <c r="A305" s="453"/>
      <c r="D305" s="453" t="s">
        <v>347</v>
      </c>
      <c r="E305" s="454">
        <v>3000</v>
      </c>
      <c r="F305" s="454"/>
      <c r="G305" s="454">
        <v>3000</v>
      </c>
      <c r="H305" s="453"/>
    </row>
    <row r="306" spans="1:8" x14ac:dyDescent="0.25">
      <c r="A306" s="453"/>
      <c r="B306" s="455"/>
      <c r="D306" s="453"/>
      <c r="E306" s="454"/>
      <c r="F306" s="454"/>
      <c r="G306" s="454"/>
      <c r="H306" s="453"/>
    </row>
    <row r="307" spans="1:8" x14ac:dyDescent="0.25">
      <c r="A307" s="453"/>
      <c r="B307" s="455"/>
      <c r="D307" s="453"/>
      <c r="E307" s="527"/>
      <c r="F307" s="527"/>
      <c r="G307" s="456">
        <f>SUM(G305:G306)</f>
        <v>3000</v>
      </c>
      <c r="H307" s="453"/>
    </row>
    <row r="308" spans="1:8" x14ac:dyDescent="0.25">
      <c r="A308" s="453"/>
      <c r="D308" s="453"/>
      <c r="E308" s="454"/>
      <c r="F308" s="454"/>
      <c r="G308" s="454"/>
      <c r="H308" s="453"/>
    </row>
    <row r="309" spans="1:8" x14ac:dyDescent="0.25">
      <c r="A309" s="453"/>
      <c r="B309" s="313"/>
      <c r="D309" s="457"/>
      <c r="E309" s="528" t="s">
        <v>348</v>
      </c>
      <c r="F309" s="528"/>
      <c r="G309" s="456">
        <f>G307/3000</f>
        <v>1</v>
      </c>
      <c r="H309" s="453"/>
    </row>
    <row r="310" spans="1:8" x14ac:dyDescent="0.25">
      <c r="A310" s="453"/>
      <c r="D310" s="453"/>
      <c r="E310" s="454"/>
      <c r="F310" s="454"/>
      <c r="G310" s="454"/>
      <c r="H310" s="453"/>
    </row>
    <row r="311" spans="1:8" x14ac:dyDescent="0.25">
      <c r="A311" s="453" t="s">
        <v>349</v>
      </c>
      <c r="B311" s="455" t="s">
        <v>350</v>
      </c>
      <c r="D311" s="453" t="s">
        <v>347</v>
      </c>
      <c r="E311" s="454">
        <v>3000</v>
      </c>
      <c r="F311" s="454">
        <v>4000</v>
      </c>
      <c r="G311" s="454">
        <f>PRODUCT(F311/E311)</f>
        <v>1.3333333333333333</v>
      </c>
      <c r="H311" s="453"/>
    </row>
    <row r="312" spans="1:8" x14ac:dyDescent="0.25">
      <c r="A312" s="453" t="s">
        <v>351</v>
      </c>
      <c r="B312" t="s">
        <v>352</v>
      </c>
      <c r="D312" s="453" t="s">
        <v>172</v>
      </c>
      <c r="E312" s="454">
        <v>0.3</v>
      </c>
      <c r="F312" s="454">
        <v>173.96</v>
      </c>
      <c r="G312" s="454">
        <f>E312*F312</f>
        <v>52.188000000000002</v>
      </c>
      <c r="H312" s="453"/>
    </row>
    <row r="313" spans="1:8" x14ac:dyDescent="0.25">
      <c r="A313" s="453" t="s">
        <v>353</v>
      </c>
      <c r="B313" t="s">
        <v>354</v>
      </c>
      <c r="D313" s="453" t="s">
        <v>229</v>
      </c>
      <c r="E313" s="454">
        <v>0.7</v>
      </c>
      <c r="F313" s="454">
        <v>5</v>
      </c>
      <c r="G313" s="454">
        <f>E313*F313</f>
        <v>3.5</v>
      </c>
      <c r="H313" s="453"/>
    </row>
    <row r="314" spans="1:8" x14ac:dyDescent="0.25">
      <c r="A314" s="453" t="s">
        <v>355</v>
      </c>
      <c r="B314" t="s">
        <v>356</v>
      </c>
      <c r="D314" s="453"/>
      <c r="E314" s="454"/>
      <c r="F314" s="454"/>
      <c r="G314" s="454"/>
      <c r="H314" s="453"/>
    </row>
    <row r="315" spans="1:8" x14ac:dyDescent="0.25">
      <c r="A315" s="453"/>
      <c r="B315" t="s">
        <v>357</v>
      </c>
      <c r="D315" s="453" t="s">
        <v>172</v>
      </c>
      <c r="E315" s="454">
        <v>15000</v>
      </c>
      <c r="F315" s="454">
        <v>3000</v>
      </c>
      <c r="G315" s="454">
        <f>E315/F315</f>
        <v>5</v>
      </c>
      <c r="H315" s="453"/>
    </row>
    <row r="316" spans="1:8" x14ac:dyDescent="0.25">
      <c r="A316" s="453"/>
      <c r="B316" t="s">
        <v>358</v>
      </c>
      <c r="D316" s="453"/>
      <c r="E316" s="454"/>
      <c r="F316" s="454"/>
      <c r="G316" s="456">
        <f>SUM(G311:G315)</f>
        <v>62.021333333333338</v>
      </c>
      <c r="H316" s="453"/>
    </row>
    <row r="317" spans="1:8" x14ac:dyDescent="0.25">
      <c r="A317" s="453"/>
      <c r="D317" s="453"/>
      <c r="E317" s="454"/>
      <c r="F317" s="454"/>
      <c r="G317" s="454"/>
      <c r="H317" s="453"/>
    </row>
    <row r="318" spans="1:8" x14ac:dyDescent="0.25">
      <c r="A318" s="453" t="s">
        <v>359</v>
      </c>
      <c r="B318" t="s">
        <v>360</v>
      </c>
      <c r="D318" s="453" t="s">
        <v>172</v>
      </c>
      <c r="E318" s="454">
        <v>1500</v>
      </c>
      <c r="F318" s="454">
        <v>65</v>
      </c>
      <c r="G318" s="454">
        <f>E318/F318</f>
        <v>23.076923076923077</v>
      </c>
      <c r="H318" s="453"/>
    </row>
    <row r="319" spans="1:8" x14ac:dyDescent="0.25">
      <c r="A319" s="453"/>
      <c r="B319" t="s">
        <v>361</v>
      </c>
      <c r="D319" s="453"/>
      <c r="E319" s="454"/>
      <c r="F319" s="454"/>
      <c r="G319" s="454"/>
      <c r="H319" s="453"/>
    </row>
    <row r="320" spans="1:8" x14ac:dyDescent="0.25">
      <c r="A320" s="453" t="s">
        <v>362</v>
      </c>
      <c r="B320" t="s">
        <v>363</v>
      </c>
      <c r="D320" s="453" t="s">
        <v>364</v>
      </c>
      <c r="E320" s="454">
        <v>8</v>
      </c>
      <c r="F320" s="454">
        <v>1700</v>
      </c>
      <c r="G320" s="454">
        <f>E320*F320+G318</f>
        <v>13623.076923076924</v>
      </c>
      <c r="H320" s="453"/>
    </row>
    <row r="321" spans="1:8" x14ac:dyDescent="0.25">
      <c r="A321" s="453"/>
      <c r="D321" s="453"/>
      <c r="E321" s="454"/>
      <c r="F321" s="454"/>
      <c r="G321" s="454"/>
      <c r="H321" s="457"/>
    </row>
    <row r="322" spans="1:8" x14ac:dyDescent="0.25">
      <c r="A322" s="453"/>
      <c r="B322" s="458"/>
      <c r="D322" s="457"/>
      <c r="E322" s="528" t="s">
        <v>365</v>
      </c>
      <c r="F322" s="528"/>
      <c r="G322" s="456">
        <f>G320/3000</f>
        <v>4.5410256410256409</v>
      </c>
      <c r="H322" s="453"/>
    </row>
    <row r="323" spans="1:8" x14ac:dyDescent="0.25">
      <c r="A323" s="453"/>
      <c r="D323" s="453"/>
      <c r="E323" s="454"/>
      <c r="F323" s="454"/>
      <c r="G323" s="454"/>
      <c r="H323" s="453"/>
    </row>
    <row r="324" spans="1:8" x14ac:dyDescent="0.25">
      <c r="A324" s="453" t="s">
        <v>366</v>
      </c>
      <c r="B324" t="s">
        <v>367</v>
      </c>
      <c r="D324" s="453" t="s">
        <v>368</v>
      </c>
      <c r="E324" s="454">
        <v>8</v>
      </c>
      <c r="F324" s="454">
        <v>1700</v>
      </c>
      <c r="G324" s="454">
        <f>E324*F324</f>
        <v>13600</v>
      </c>
      <c r="H324" s="453"/>
    </row>
    <row r="325" spans="1:8" x14ac:dyDescent="0.25">
      <c r="A325" s="453"/>
      <c r="D325" s="453"/>
      <c r="E325" s="454"/>
      <c r="F325" s="454"/>
      <c r="G325" s="454"/>
      <c r="H325" s="453"/>
    </row>
    <row r="326" spans="1:8" x14ac:dyDescent="0.25">
      <c r="A326" s="453"/>
      <c r="B326" s="313"/>
      <c r="D326" s="457"/>
      <c r="E326" s="528" t="s">
        <v>365</v>
      </c>
      <c r="F326" s="528"/>
      <c r="G326" s="456">
        <f>G324/3000</f>
        <v>4.5333333333333332</v>
      </c>
      <c r="H326" s="453"/>
    </row>
    <row r="327" spans="1:8" x14ac:dyDescent="0.25">
      <c r="A327" s="453" t="s">
        <v>369</v>
      </c>
      <c r="B327" t="s">
        <v>370</v>
      </c>
      <c r="D327" s="453"/>
      <c r="E327" s="454"/>
      <c r="F327" s="454"/>
      <c r="G327" s="454"/>
      <c r="H327" s="453"/>
    </row>
    <row r="328" spans="1:8" x14ac:dyDescent="0.25">
      <c r="A328" s="453"/>
      <c r="B328" t="s">
        <v>371</v>
      </c>
      <c r="D328" s="453" t="s">
        <v>347</v>
      </c>
      <c r="E328" s="454"/>
      <c r="F328" s="454">
        <v>1000</v>
      </c>
      <c r="G328" s="454">
        <f>F328*10</f>
        <v>10000</v>
      </c>
      <c r="H328" s="453"/>
    </row>
    <row r="329" spans="1:8" x14ac:dyDescent="0.25">
      <c r="A329" s="453"/>
      <c r="B329" t="s">
        <v>372</v>
      </c>
      <c r="D329" s="453" t="s">
        <v>347</v>
      </c>
      <c r="E329" s="454"/>
      <c r="F329" s="454">
        <v>1500</v>
      </c>
      <c r="G329" s="454">
        <v>1000</v>
      </c>
      <c r="H329" s="453"/>
    </row>
    <row r="330" spans="1:8" x14ac:dyDescent="0.25">
      <c r="A330" s="453"/>
      <c r="D330" s="453"/>
      <c r="E330" s="454"/>
      <c r="F330" s="454"/>
      <c r="G330" s="454"/>
      <c r="H330" s="453"/>
    </row>
    <row r="331" spans="1:8" x14ac:dyDescent="0.25">
      <c r="A331" s="453"/>
      <c r="B331" s="313"/>
      <c r="D331" s="457"/>
      <c r="E331" s="528" t="s">
        <v>365</v>
      </c>
      <c r="F331" s="528"/>
      <c r="G331" s="456">
        <f>SUM(G328:G330)/3000</f>
        <v>3.6666666666666665</v>
      </c>
      <c r="H331" s="453"/>
    </row>
    <row r="332" spans="1:8" x14ac:dyDescent="0.25">
      <c r="A332" s="453" t="s">
        <v>373</v>
      </c>
      <c r="B332" t="s">
        <v>374</v>
      </c>
      <c r="D332" s="453"/>
      <c r="E332" s="454"/>
      <c r="F332" s="454"/>
      <c r="G332" s="454"/>
      <c r="H332" s="453"/>
    </row>
    <row r="333" spans="1:8" x14ac:dyDescent="0.25">
      <c r="A333" s="453" t="s">
        <v>375</v>
      </c>
      <c r="B333" t="s">
        <v>376</v>
      </c>
      <c r="D333" s="453" t="s">
        <v>172</v>
      </c>
      <c r="E333" s="454"/>
      <c r="F333" s="454"/>
      <c r="G333" s="454">
        <v>2.69</v>
      </c>
      <c r="H333" s="453"/>
    </row>
    <row r="334" spans="1:8" x14ac:dyDescent="0.25">
      <c r="A334" s="453" t="s">
        <v>377</v>
      </c>
      <c r="B334" t="s">
        <v>378</v>
      </c>
      <c r="D334" s="453" t="s">
        <v>172</v>
      </c>
      <c r="E334" s="454"/>
      <c r="F334" s="454"/>
      <c r="G334" s="454">
        <v>2</v>
      </c>
      <c r="H334" s="453"/>
    </row>
    <row r="335" spans="1:8" x14ac:dyDescent="0.25">
      <c r="A335" s="453" t="s">
        <v>379</v>
      </c>
      <c r="B335" t="s">
        <v>380</v>
      </c>
      <c r="D335" s="453"/>
      <c r="E335" s="454">
        <v>0.1</v>
      </c>
      <c r="F335" s="454">
        <v>214.8</v>
      </c>
      <c r="G335" s="454">
        <f>E335*F335</f>
        <v>21.480000000000004</v>
      </c>
      <c r="H335" s="453"/>
    </row>
    <row r="336" spans="1:8" x14ac:dyDescent="0.25">
      <c r="A336" s="453"/>
      <c r="D336" s="453"/>
      <c r="E336" s="454"/>
      <c r="F336" s="454"/>
      <c r="G336" s="454"/>
      <c r="H336" s="453"/>
    </row>
    <row r="337" spans="1:8" x14ac:dyDescent="0.25">
      <c r="A337" s="453"/>
      <c r="B337" s="313"/>
      <c r="D337" s="526" t="s">
        <v>381</v>
      </c>
      <c r="E337" s="526"/>
      <c r="F337" s="526"/>
      <c r="G337" s="459">
        <f>G335+G334+G333+G331+G326+G322+G316+G309</f>
        <v>101.93235897435898</v>
      </c>
      <c r="H337" s="453"/>
    </row>
    <row r="338" spans="1:8" x14ac:dyDescent="0.25">
      <c r="A338" s="453"/>
      <c r="B338" s="313"/>
      <c r="D338" s="457"/>
      <c r="E338" s="456"/>
      <c r="F338" s="456"/>
      <c r="G338" s="456"/>
      <c r="H338" s="453"/>
    </row>
    <row r="339" spans="1:8" ht="15.6" x14ac:dyDescent="0.3">
      <c r="A339" s="453"/>
      <c r="B339" s="214" t="s">
        <v>382</v>
      </c>
      <c r="C339" s="313"/>
      <c r="D339" s="453"/>
      <c r="E339" t="s">
        <v>383</v>
      </c>
      <c r="G339" s="453"/>
      <c r="H339" s="453"/>
    </row>
    <row r="340" spans="1:8" x14ac:dyDescent="0.25">
      <c r="A340" s="453"/>
      <c r="B340" s="313"/>
      <c r="C340" s="313"/>
      <c r="D340" s="457"/>
      <c r="E340" s="456"/>
      <c r="F340" s="456"/>
      <c r="G340" s="456"/>
      <c r="H340" s="453"/>
    </row>
    <row r="341" spans="1:8" x14ac:dyDescent="0.25">
      <c r="A341" s="453"/>
      <c r="B341" s="313"/>
      <c r="E341" s="456"/>
      <c r="F341" s="456"/>
      <c r="G341" s="456"/>
      <c r="H341" s="453"/>
    </row>
    <row r="342" spans="1:8" x14ac:dyDescent="0.25">
      <c r="A342" s="453" t="s">
        <v>345</v>
      </c>
      <c r="B342" t="s">
        <v>384</v>
      </c>
      <c r="D342" t="s">
        <v>385</v>
      </c>
      <c r="E342" s="453">
        <v>0.15</v>
      </c>
      <c r="F342" s="460">
        <v>126</v>
      </c>
      <c r="G342" s="456">
        <f>E342*F342</f>
        <v>18.899999999999999</v>
      </c>
      <c r="H342" s="453"/>
    </row>
    <row r="343" spans="1:8" x14ac:dyDescent="0.25">
      <c r="A343" s="453" t="s">
        <v>349</v>
      </c>
      <c r="B343" t="s">
        <v>386</v>
      </c>
      <c r="E343" s="461"/>
      <c r="F343" s="180">
        <v>2</v>
      </c>
      <c r="G343" s="454">
        <v>2</v>
      </c>
      <c r="H343" s="453"/>
    </row>
    <row r="344" spans="1:8" x14ac:dyDescent="0.25">
      <c r="A344" s="453" t="s">
        <v>351</v>
      </c>
      <c r="B344" t="s">
        <v>376</v>
      </c>
      <c r="F344" s="180">
        <v>1</v>
      </c>
      <c r="G344" s="454">
        <v>1.1000000000000001</v>
      </c>
      <c r="H344" s="453"/>
    </row>
    <row r="345" spans="1:8" x14ac:dyDescent="0.25">
      <c r="A345" s="453"/>
      <c r="D345" s="453"/>
      <c r="E345" s="454"/>
      <c r="F345" s="456"/>
      <c r="G345" s="456"/>
      <c r="H345" s="453"/>
    </row>
    <row r="346" spans="1:8" x14ac:dyDescent="0.25">
      <c r="A346" s="453"/>
      <c r="C346" s="454"/>
      <c r="D346" s="453"/>
      <c r="E346" s="526" t="s">
        <v>387</v>
      </c>
      <c r="F346" s="526"/>
      <c r="G346" s="459">
        <f>SUM(G342:G345)</f>
        <v>22</v>
      </c>
      <c r="H346" s="453"/>
    </row>
    <row r="347" spans="1:8" x14ac:dyDescent="0.25">
      <c r="A347" s="453"/>
      <c r="B347" s="313"/>
      <c r="C347" s="457"/>
      <c r="D347" s="457"/>
      <c r="E347" s="456"/>
      <c r="F347" s="456"/>
      <c r="G347" s="456"/>
      <c r="H347" s="453"/>
    </row>
    <row r="348" spans="1:8" ht="15.6" x14ac:dyDescent="0.3">
      <c r="A348" s="453"/>
      <c r="B348" s="214" t="s">
        <v>388</v>
      </c>
      <c r="D348" s="453"/>
      <c r="E348" s="454"/>
      <c r="F348" s="454"/>
      <c r="G348" s="454"/>
      <c r="H348" s="453"/>
    </row>
    <row r="349" spans="1:8" x14ac:dyDescent="0.25">
      <c r="A349" s="453"/>
      <c r="D349" s="453"/>
      <c r="E349" s="454"/>
      <c r="F349" s="454"/>
      <c r="G349" s="454"/>
      <c r="H349" s="453"/>
    </row>
    <row r="350" spans="1:8" x14ac:dyDescent="0.25">
      <c r="A350" s="453"/>
      <c r="D350" s="453"/>
      <c r="E350" s="454"/>
      <c r="F350" s="454"/>
      <c r="G350" s="454"/>
      <c r="H350" s="453"/>
    </row>
    <row r="351" spans="1:8" x14ac:dyDescent="0.25">
      <c r="A351" s="453" t="s">
        <v>345</v>
      </c>
      <c r="B351" t="s">
        <v>389</v>
      </c>
      <c r="D351" s="453" t="s">
        <v>164</v>
      </c>
      <c r="E351" s="454"/>
      <c r="F351" s="454"/>
      <c r="G351" s="454">
        <v>7500</v>
      </c>
      <c r="H351" s="453"/>
    </row>
    <row r="352" spans="1:8" x14ac:dyDescent="0.25">
      <c r="A352" s="453" t="s">
        <v>349</v>
      </c>
      <c r="B352" t="s">
        <v>390</v>
      </c>
      <c r="D352" s="453" t="s">
        <v>391</v>
      </c>
      <c r="E352" s="454"/>
      <c r="F352" s="454"/>
      <c r="G352" s="454">
        <v>600</v>
      </c>
      <c r="H352" s="453"/>
    </row>
    <row r="353" spans="1:8" x14ac:dyDescent="0.25">
      <c r="A353" s="453"/>
      <c r="D353" s="453"/>
      <c r="E353" s="454"/>
      <c r="F353" s="454"/>
      <c r="G353" s="454"/>
      <c r="H353" s="453"/>
    </row>
    <row r="354" spans="1:8" x14ac:dyDescent="0.25">
      <c r="A354" s="453"/>
      <c r="D354" s="453"/>
      <c r="E354" s="454"/>
      <c r="F354" s="462" t="s">
        <v>392</v>
      </c>
      <c r="G354" s="462"/>
      <c r="H354" s="459">
        <f>SUM(G351:G353)</f>
        <v>8100</v>
      </c>
    </row>
    <row r="355" spans="1:8" x14ac:dyDescent="0.25">
      <c r="A355" s="453"/>
      <c r="D355" s="453"/>
      <c r="E355" s="454"/>
      <c r="F355" s="454"/>
      <c r="G355" s="454"/>
      <c r="H355" s="453"/>
    </row>
    <row r="356" spans="1:8" x14ac:dyDescent="0.25">
      <c r="A356" s="453"/>
      <c r="D356" s="453"/>
      <c r="E356" s="454"/>
      <c r="F356" s="526" t="s">
        <v>393</v>
      </c>
      <c r="G356" s="526"/>
      <c r="H356" s="459">
        <f>H354/15.5</f>
        <v>522.58064516129036</v>
      </c>
    </row>
    <row r="357" spans="1:8" x14ac:dyDescent="0.25">
      <c r="A357" s="453"/>
      <c r="D357" s="453"/>
      <c r="E357" s="454"/>
      <c r="F357" s="454"/>
      <c r="G357" s="454"/>
      <c r="H357" s="453"/>
    </row>
    <row r="358" spans="1:8" ht="15.6" x14ac:dyDescent="0.3">
      <c r="A358" s="453"/>
      <c r="B358" s="463" t="s">
        <v>394</v>
      </c>
      <c r="C358" s="463"/>
      <c r="D358" s="463"/>
      <c r="E358" s="463"/>
      <c r="G358" s="454"/>
      <c r="H358" s="453"/>
    </row>
    <row r="359" spans="1:8" x14ac:dyDescent="0.25">
      <c r="A359" s="453"/>
      <c r="D359" s="453"/>
      <c r="E359" s="454"/>
      <c r="F359" s="454"/>
      <c r="G359" s="454"/>
      <c r="H359" s="453"/>
    </row>
    <row r="360" spans="1:8" x14ac:dyDescent="0.25">
      <c r="A360" s="453">
        <v>1</v>
      </c>
      <c r="B360" s="455" t="s">
        <v>395</v>
      </c>
      <c r="D360" s="453" t="s">
        <v>396</v>
      </c>
      <c r="E360" s="454">
        <v>1</v>
      </c>
      <c r="F360" s="454">
        <v>50</v>
      </c>
      <c r="G360" s="454">
        <f>E360*F360</f>
        <v>50</v>
      </c>
      <c r="H360" s="453"/>
    </row>
    <row r="361" spans="1:8" x14ac:dyDescent="0.25">
      <c r="A361" s="453"/>
      <c r="D361" s="453"/>
      <c r="E361" s="454"/>
      <c r="F361" s="454"/>
      <c r="G361" s="454"/>
      <c r="H361" s="453"/>
    </row>
    <row r="362" spans="1:8" x14ac:dyDescent="0.25">
      <c r="A362" s="453"/>
      <c r="D362" s="453"/>
      <c r="E362" s="454"/>
      <c r="F362" s="454"/>
      <c r="G362" s="454"/>
      <c r="H362" s="453"/>
    </row>
    <row r="363" spans="1:8" x14ac:dyDescent="0.25">
      <c r="A363" s="453"/>
      <c r="C363" t="s">
        <v>397</v>
      </c>
      <c r="D363" s="453"/>
      <c r="H363" s="453"/>
    </row>
    <row r="364" spans="1:8" x14ac:dyDescent="0.25">
      <c r="A364" s="453"/>
      <c r="D364" s="453"/>
      <c r="E364" s="454"/>
      <c r="F364" s="526" t="s">
        <v>398</v>
      </c>
      <c r="G364" s="526">
        <v>20</v>
      </c>
      <c r="H364" s="459">
        <v>50</v>
      </c>
    </row>
    <row r="366" spans="1:8" ht="27.6" x14ac:dyDescent="0.25">
      <c r="A366" s="314" t="s">
        <v>198</v>
      </c>
      <c r="B366" s="314" t="s">
        <v>199</v>
      </c>
      <c r="C366" s="314" t="s">
        <v>200</v>
      </c>
      <c r="D366" s="314" t="s">
        <v>201</v>
      </c>
      <c r="E366" s="314" t="s">
        <v>202</v>
      </c>
      <c r="F366" s="314" t="s">
        <v>203</v>
      </c>
      <c r="G366" s="314" t="s">
        <v>204</v>
      </c>
      <c r="H366" s="314" t="s">
        <v>205</v>
      </c>
    </row>
    <row r="367" spans="1:8" ht="36" x14ac:dyDescent="0.25">
      <c r="A367" s="205" t="s">
        <v>399</v>
      </c>
      <c r="B367" s="206">
        <v>1</v>
      </c>
      <c r="C367" s="206" t="s">
        <v>164</v>
      </c>
      <c r="D367" s="207"/>
      <c r="E367" s="207"/>
      <c r="F367" s="207">
        <f>+F376/B370</f>
        <v>7539</v>
      </c>
      <c r="G367" s="207">
        <f>+G376/B370</f>
        <v>934.76</v>
      </c>
      <c r="H367" s="464">
        <f>+G367+F367</f>
        <v>8473.76</v>
      </c>
    </row>
    <row r="368" spans="1:8" x14ac:dyDescent="0.25">
      <c r="A368" s="465"/>
      <c r="B368" s="466">
        <v>1</v>
      </c>
      <c r="C368" s="206" t="s">
        <v>172</v>
      </c>
      <c r="D368" s="207"/>
      <c r="E368" s="207"/>
      <c r="F368" s="207">
        <f>+F367/10</f>
        <v>753.9</v>
      </c>
      <c r="G368" s="207">
        <f>+G367/10</f>
        <v>93.475999999999999</v>
      </c>
      <c r="H368" s="464">
        <f>+G368+F368</f>
        <v>847.37599999999998</v>
      </c>
    </row>
    <row r="369" spans="1:8" x14ac:dyDescent="0.25">
      <c r="A369" s="213" t="s">
        <v>400</v>
      </c>
      <c r="B369" s="467"/>
      <c r="C369" s="467"/>
      <c r="D369" s="209"/>
      <c r="E369" s="209"/>
      <c r="F369" s="209"/>
      <c r="G369" s="209"/>
      <c r="H369" s="210"/>
    </row>
    <row r="370" spans="1:8" x14ac:dyDescent="0.25">
      <c r="A370" s="208" t="s">
        <v>223</v>
      </c>
      <c r="B370" s="211">
        <v>1</v>
      </c>
      <c r="C370" s="211" t="s">
        <v>164</v>
      </c>
      <c r="D370" s="209"/>
      <c r="E370" s="209"/>
      <c r="F370" s="209"/>
      <c r="G370" s="209"/>
      <c r="H370" s="210"/>
    </row>
    <row r="371" spans="1:8" x14ac:dyDescent="0.25">
      <c r="A371" s="208" t="s">
        <v>227</v>
      </c>
      <c r="B371" s="211"/>
      <c r="C371" s="211"/>
      <c r="D371" s="212"/>
      <c r="E371" s="212"/>
      <c r="F371" s="212"/>
      <c r="G371" s="212"/>
      <c r="H371" s="212"/>
    </row>
    <row r="372" spans="1:8" ht="24" x14ac:dyDescent="0.25">
      <c r="A372" s="213" t="s">
        <v>401</v>
      </c>
      <c r="B372" s="211">
        <f>+B370*1.1</f>
        <v>1.1000000000000001</v>
      </c>
      <c r="C372" s="211" t="s">
        <v>164</v>
      </c>
      <c r="D372" s="212">
        <v>5188.18</v>
      </c>
      <c r="E372" s="212">
        <v>849.78</v>
      </c>
      <c r="F372" s="212">
        <f>ROUND((B372*(D372)),2)</f>
        <v>5707</v>
      </c>
      <c r="G372" s="212">
        <f>ROUND((B372*(E372)),2)</f>
        <v>934.76</v>
      </c>
      <c r="H372" s="212"/>
    </row>
    <row r="373" spans="1:8" x14ac:dyDescent="0.25">
      <c r="A373" s="208" t="s">
        <v>242</v>
      </c>
      <c r="B373" s="211"/>
      <c r="C373" s="211"/>
      <c r="D373" s="212"/>
      <c r="E373" s="212"/>
      <c r="F373" s="212"/>
      <c r="G373" s="212"/>
      <c r="H373" s="212"/>
    </row>
    <row r="374" spans="1:8" ht="24" x14ac:dyDescent="0.25">
      <c r="A374" s="213" t="s">
        <v>402</v>
      </c>
      <c r="B374" s="211">
        <f>+B375*0.01</f>
        <v>0.1</v>
      </c>
      <c r="C374" s="211" t="s">
        <v>253</v>
      </c>
      <c r="D374" s="212">
        <v>847</v>
      </c>
      <c r="E374" s="212">
        <v>0</v>
      </c>
      <c r="F374" s="212">
        <f>ROUND((B374*(D374)),2)</f>
        <v>84.7</v>
      </c>
      <c r="G374" s="212">
        <f>ROUND((B374*(E374)),2)</f>
        <v>0</v>
      </c>
      <c r="H374" s="212"/>
    </row>
    <row r="375" spans="1:8" ht="24" x14ac:dyDescent="0.25">
      <c r="A375" s="213" t="s">
        <v>403</v>
      </c>
      <c r="B375" s="211">
        <v>10</v>
      </c>
      <c r="C375" s="211" t="s">
        <v>172</v>
      </c>
      <c r="D375" s="212">
        <v>174.73</v>
      </c>
      <c r="E375" s="212">
        <v>0</v>
      </c>
      <c r="F375" s="212">
        <f>ROUND((B375*(D375)),2)</f>
        <v>1747.3</v>
      </c>
      <c r="G375" s="212">
        <f>ROUND((B375*(E375)),2)</f>
        <v>0</v>
      </c>
      <c r="H375" s="212"/>
    </row>
    <row r="376" spans="1:8" x14ac:dyDescent="0.25">
      <c r="A376" s="213" t="s">
        <v>230</v>
      </c>
      <c r="B376" s="211"/>
      <c r="C376" s="211"/>
      <c r="D376" s="212"/>
      <c r="E376" s="212"/>
      <c r="F376" s="212">
        <f>SUM(F372:F375)</f>
        <v>7539</v>
      </c>
      <c r="G376" s="212">
        <f>SUM(G372:G375)</f>
        <v>934.76</v>
      </c>
      <c r="H376" s="212">
        <f>SUM(F376:G376)</f>
        <v>8473.76</v>
      </c>
    </row>
    <row r="378" spans="1:8" ht="27.6" x14ac:dyDescent="0.25">
      <c r="A378" s="314" t="s">
        <v>198</v>
      </c>
      <c r="B378" s="314" t="s">
        <v>199</v>
      </c>
      <c r="C378" s="314" t="s">
        <v>200</v>
      </c>
      <c r="D378" s="314" t="s">
        <v>201</v>
      </c>
      <c r="E378" s="314" t="s">
        <v>202</v>
      </c>
      <c r="F378" s="314" t="s">
        <v>203</v>
      </c>
      <c r="G378" s="314" t="s">
        <v>204</v>
      </c>
      <c r="H378" s="314" t="s">
        <v>205</v>
      </c>
    </row>
    <row r="379" spans="1:8" ht="36" x14ac:dyDescent="0.25">
      <c r="A379" s="205" t="s">
        <v>404</v>
      </c>
      <c r="B379" s="206">
        <v>1</v>
      </c>
      <c r="C379" s="206" t="s">
        <v>164</v>
      </c>
      <c r="D379" s="207"/>
      <c r="E379" s="207"/>
      <c r="F379" s="207">
        <f>+F391/B382</f>
        <v>10779.01</v>
      </c>
      <c r="G379" s="207">
        <f>+G391/B382</f>
        <v>1093.5999999999999</v>
      </c>
      <c r="H379" s="464">
        <f>+G379+F379</f>
        <v>11872.61</v>
      </c>
    </row>
    <row r="380" spans="1:8" x14ac:dyDescent="0.25">
      <c r="A380" s="468"/>
      <c r="B380" s="466">
        <v>1</v>
      </c>
      <c r="C380" s="206" t="s">
        <v>322</v>
      </c>
      <c r="D380" s="207"/>
      <c r="E380" s="207"/>
      <c r="F380" s="207">
        <f>+F379/B390</f>
        <v>1454.6572199730094</v>
      </c>
      <c r="G380" s="207">
        <f>+G379/B390</f>
        <v>147.58434547908232</v>
      </c>
      <c r="H380" s="464">
        <f>+G380+F380</f>
        <v>1602.2415654520917</v>
      </c>
    </row>
    <row r="381" spans="1:8" ht="24" x14ac:dyDescent="0.25">
      <c r="A381" s="213" t="s">
        <v>405</v>
      </c>
      <c r="B381" s="467"/>
      <c r="C381" s="467"/>
      <c r="D381" s="209"/>
      <c r="E381" s="209"/>
      <c r="F381" s="209"/>
      <c r="G381" s="209"/>
      <c r="H381" s="210"/>
    </row>
    <row r="382" spans="1:8" x14ac:dyDescent="0.25">
      <c r="A382" s="208" t="s">
        <v>223</v>
      </c>
      <c r="B382" s="211">
        <v>1</v>
      </c>
      <c r="C382" s="211" t="s">
        <v>164</v>
      </c>
      <c r="D382" s="209"/>
      <c r="E382" s="209"/>
      <c r="F382" s="209"/>
      <c r="G382" s="209"/>
      <c r="H382" s="210"/>
    </row>
    <row r="383" spans="1:8" x14ac:dyDescent="0.25">
      <c r="A383" s="208" t="s">
        <v>227</v>
      </c>
      <c r="B383" s="211"/>
      <c r="C383" s="211"/>
      <c r="D383" s="212"/>
      <c r="E383" s="212"/>
      <c r="F383" s="212"/>
      <c r="G383" s="212"/>
      <c r="H383" s="212"/>
    </row>
    <row r="384" spans="1:8" ht="24" x14ac:dyDescent="0.25">
      <c r="A384" s="213" t="s">
        <v>406</v>
      </c>
      <c r="B384" s="211">
        <f>+B389*1.3</f>
        <v>1.9266000000000003</v>
      </c>
      <c r="C384" s="211" t="s">
        <v>281</v>
      </c>
      <c r="D384" s="212">
        <v>618.55670103092791</v>
      </c>
      <c r="E384" s="212">
        <v>0</v>
      </c>
      <c r="F384" s="212">
        <f>ROUND((B384*(D384)),2)</f>
        <v>1191.71</v>
      </c>
      <c r="G384" s="212">
        <f>ROUND((B384*(E384)),2)</f>
        <v>0</v>
      </c>
      <c r="H384" s="212"/>
    </row>
    <row r="385" spans="1:8" ht="24" x14ac:dyDescent="0.25">
      <c r="A385" s="213" t="s">
        <v>407</v>
      </c>
      <c r="B385" s="211">
        <v>2.4700000000000002</v>
      </c>
      <c r="C385" s="211" t="s">
        <v>215</v>
      </c>
      <c r="D385" s="212">
        <v>385.38166666666666</v>
      </c>
      <c r="E385" s="212">
        <v>55.193333333333328</v>
      </c>
      <c r="F385" s="212">
        <f>ROUND((B385*(D385)),2)</f>
        <v>951.89</v>
      </c>
      <c r="G385" s="212">
        <f>ROUND((B385*(E385)),2)</f>
        <v>136.33000000000001</v>
      </c>
      <c r="H385" s="212"/>
    </row>
    <row r="386" spans="1:8" ht="24" x14ac:dyDescent="0.25">
      <c r="A386" s="213" t="s">
        <v>408</v>
      </c>
      <c r="B386" s="211">
        <v>1.23</v>
      </c>
      <c r="C386" s="211" t="s">
        <v>409</v>
      </c>
      <c r="D386" s="212">
        <v>101.69</v>
      </c>
      <c r="E386" s="212">
        <v>18.3</v>
      </c>
      <c r="F386" s="212">
        <f>ROUND((B386*(D386)),2)</f>
        <v>125.08</v>
      </c>
      <c r="G386" s="212">
        <f>ROUND((B386*(E386)),2)</f>
        <v>22.51</v>
      </c>
      <c r="H386" s="212"/>
    </row>
    <row r="387" spans="1:8" ht="24" x14ac:dyDescent="0.25">
      <c r="A387" s="213" t="s">
        <v>401</v>
      </c>
      <c r="B387" s="211">
        <f>+B382*1.1</f>
        <v>1.1000000000000001</v>
      </c>
      <c r="C387" s="211" t="s">
        <v>164</v>
      </c>
      <c r="D387" s="212">
        <v>5188.18</v>
      </c>
      <c r="E387" s="212">
        <v>849.78</v>
      </c>
      <c r="F387" s="212">
        <f>ROUND((B387*(D387)),2)</f>
        <v>5707</v>
      </c>
      <c r="G387" s="212">
        <f>ROUND((B387*(E387)),2)</f>
        <v>934.76</v>
      </c>
      <c r="H387" s="212"/>
    </row>
    <row r="388" spans="1:8" x14ac:dyDescent="0.25">
      <c r="A388" s="208" t="s">
        <v>242</v>
      </c>
      <c r="B388" s="211"/>
      <c r="C388" s="211"/>
      <c r="D388" s="212"/>
      <c r="E388" s="212"/>
      <c r="F388" s="212"/>
      <c r="G388" s="212"/>
      <c r="H388" s="212"/>
    </row>
    <row r="389" spans="1:8" x14ac:dyDescent="0.25">
      <c r="A389" s="213" t="s">
        <v>410</v>
      </c>
      <c r="B389" s="211">
        <f>+B390*0.4*0.5</f>
        <v>1.4820000000000002</v>
      </c>
      <c r="C389" s="211" t="s">
        <v>164</v>
      </c>
      <c r="D389" s="212">
        <v>572.64</v>
      </c>
      <c r="E389" s="212">
        <v>0</v>
      </c>
      <c r="F389" s="212">
        <f>ROUND((B389*(D389)),2)</f>
        <v>848.65</v>
      </c>
      <c r="G389" s="212">
        <f>ROUND((B389*(E389)),2)</f>
        <v>0</v>
      </c>
      <c r="H389" s="212"/>
    </row>
    <row r="390" spans="1:8" ht="24" x14ac:dyDescent="0.25">
      <c r="A390" s="213" t="s">
        <v>411</v>
      </c>
      <c r="B390" s="211">
        <v>7.41</v>
      </c>
      <c r="C390" s="211" t="s">
        <v>322</v>
      </c>
      <c r="D390" s="212">
        <v>263.79000000000002</v>
      </c>
      <c r="E390" s="212">
        <v>0</v>
      </c>
      <c r="F390" s="212">
        <f>ROUND((B390*(D390)),2)</f>
        <v>1954.68</v>
      </c>
      <c r="G390" s="212">
        <f>ROUND((B390*(E390)),2)</f>
        <v>0</v>
      </c>
      <c r="H390" s="212"/>
    </row>
    <row r="391" spans="1:8" x14ac:dyDescent="0.25">
      <c r="A391" s="213" t="s">
        <v>230</v>
      </c>
      <c r="B391" s="211"/>
      <c r="C391" s="211"/>
      <c r="D391" s="212"/>
      <c r="E391" s="212"/>
      <c r="F391" s="212">
        <f>SUM(F384:F390)</f>
        <v>10779.01</v>
      </c>
      <c r="G391" s="212">
        <f>SUM(G384:G390)</f>
        <v>1093.5999999999999</v>
      </c>
      <c r="H391" s="212">
        <f>SUM(F391:G391)</f>
        <v>11872.61</v>
      </c>
    </row>
  </sheetData>
  <mergeCells count="48">
    <mergeCell ref="F364:G364"/>
    <mergeCell ref="A288:E288"/>
    <mergeCell ref="A293:E293"/>
    <mergeCell ref="A297:E297"/>
    <mergeCell ref="E307:F307"/>
    <mergeCell ref="E309:F309"/>
    <mergeCell ref="E322:F322"/>
    <mergeCell ref="E326:F326"/>
    <mergeCell ref="E331:F331"/>
    <mergeCell ref="D337:F337"/>
    <mergeCell ref="E346:F346"/>
    <mergeCell ref="F356:G356"/>
    <mergeCell ref="A284:E284"/>
    <mergeCell ref="B184:H184"/>
    <mergeCell ref="A196:E196"/>
    <mergeCell ref="A206:E206"/>
    <mergeCell ref="A214:E214"/>
    <mergeCell ref="A223:E223"/>
    <mergeCell ref="A232:E232"/>
    <mergeCell ref="A241:E241"/>
    <mergeCell ref="B252:C252"/>
    <mergeCell ref="A264:E264"/>
    <mergeCell ref="B268:C268"/>
    <mergeCell ref="A280:E280"/>
    <mergeCell ref="A179:E179"/>
    <mergeCell ref="A105:E105"/>
    <mergeCell ref="B108:D108"/>
    <mergeCell ref="A115:E115"/>
    <mergeCell ref="B120:H120"/>
    <mergeCell ref="A128:E128"/>
    <mergeCell ref="B132:D132"/>
    <mergeCell ref="A138:E138"/>
    <mergeCell ref="B143:H143"/>
    <mergeCell ref="A151:E151"/>
    <mergeCell ref="A169:E169"/>
    <mergeCell ref="B173:D173"/>
    <mergeCell ref="B102:D102"/>
    <mergeCell ref="A9:E9"/>
    <mergeCell ref="B32:C32"/>
    <mergeCell ref="A44:E44"/>
    <mergeCell ref="B47:C47"/>
    <mergeCell ref="A59:E59"/>
    <mergeCell ref="B63:C63"/>
    <mergeCell ref="A75:E75"/>
    <mergeCell ref="B78:C78"/>
    <mergeCell ref="A90:E90"/>
    <mergeCell ref="B94:D94"/>
    <mergeCell ref="A100:E100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A051-AC2D-450F-AAF0-C3ADD80F17FB}">
  <dimension ref="A1:I345"/>
  <sheetViews>
    <sheetView tabSelected="1" topLeftCell="A320" workbookViewId="0">
      <selection activeCell="I333" sqref="I333"/>
    </sheetView>
  </sheetViews>
  <sheetFormatPr baseColWidth="10" defaultColWidth="10.6640625" defaultRowHeight="13.2" x14ac:dyDescent="0.25"/>
  <cols>
    <col min="2" max="2" width="61" customWidth="1"/>
    <col min="3" max="3" width="10.5546875" customWidth="1"/>
    <col min="5" max="5" width="12.6640625" bestFit="1" customWidth="1"/>
    <col min="6" max="6" width="18.6640625" customWidth="1"/>
    <col min="7" max="7" width="15" customWidth="1"/>
    <col min="8" max="8" width="11.88671875" bestFit="1" customWidth="1"/>
    <col min="9" max="9" width="14" bestFit="1" customWidth="1"/>
  </cols>
  <sheetData>
    <row r="1" spans="1:6" hidden="1" x14ac:dyDescent="0.25"/>
    <row r="2" spans="1:6" hidden="1" x14ac:dyDescent="0.25"/>
    <row r="3" spans="1:6" ht="15.6" hidden="1" x14ac:dyDescent="0.25">
      <c r="A3" s="508" t="s">
        <v>0</v>
      </c>
      <c r="B3" s="508"/>
      <c r="C3" s="508"/>
      <c r="D3" s="508"/>
      <c r="E3" s="508"/>
      <c r="F3" s="508"/>
    </row>
    <row r="4" spans="1:6" hidden="1" x14ac:dyDescent="0.25">
      <c r="A4" s="506" t="s">
        <v>1</v>
      </c>
      <c r="B4" s="507"/>
      <c r="C4" s="507"/>
      <c r="D4" s="507"/>
      <c r="E4" s="507"/>
      <c r="F4" s="507"/>
    </row>
    <row r="5" spans="1:6" hidden="1" x14ac:dyDescent="0.25">
      <c r="A5" s="2" t="s">
        <v>2</v>
      </c>
      <c r="B5" s="3"/>
      <c r="C5" s="3"/>
      <c r="D5" s="3"/>
      <c r="E5" s="4" t="s">
        <v>3</v>
      </c>
      <c r="F5" s="5"/>
    </row>
    <row r="6" spans="1:6" hidden="1" x14ac:dyDescent="0.25">
      <c r="A6" s="6"/>
      <c r="B6" s="7"/>
      <c r="C6" s="7"/>
      <c r="D6" s="8"/>
      <c r="E6" s="9"/>
      <c r="F6" s="10"/>
    </row>
    <row r="7" spans="1:6" hidden="1" x14ac:dyDescent="0.25">
      <c r="A7" s="43" t="s">
        <v>4</v>
      </c>
      <c r="B7" s="43" t="s">
        <v>5</v>
      </c>
      <c r="C7" s="44" t="s">
        <v>6</v>
      </c>
      <c r="D7" s="43" t="s">
        <v>7</v>
      </c>
      <c r="E7" s="12" t="s">
        <v>8</v>
      </c>
      <c r="F7" s="11" t="s">
        <v>9</v>
      </c>
    </row>
    <row r="8" spans="1:6" hidden="1" x14ac:dyDescent="0.25">
      <c r="A8" s="45"/>
      <c r="B8" s="45"/>
      <c r="C8" s="46"/>
      <c r="D8" s="45"/>
      <c r="E8" s="14"/>
      <c r="F8" s="13"/>
    </row>
    <row r="9" spans="1:6" hidden="1" x14ac:dyDescent="0.25">
      <c r="A9" s="45"/>
      <c r="B9" s="47"/>
      <c r="C9" s="48"/>
      <c r="D9" s="49"/>
      <c r="E9" s="15"/>
      <c r="F9" s="16"/>
    </row>
    <row r="10" spans="1:6" ht="26.4" hidden="1" x14ac:dyDescent="0.25">
      <c r="A10" s="50" t="s">
        <v>10</v>
      </c>
      <c r="B10" s="51" t="s">
        <v>11</v>
      </c>
      <c r="C10" s="52"/>
      <c r="D10" s="53"/>
      <c r="E10" s="17"/>
      <c r="F10" s="18"/>
    </row>
    <row r="11" spans="1:6" hidden="1" x14ac:dyDescent="0.25">
      <c r="A11" s="50"/>
      <c r="B11" s="51"/>
      <c r="C11" s="52"/>
      <c r="D11" s="53"/>
      <c r="E11" s="17"/>
      <c r="F11" s="18"/>
    </row>
    <row r="12" spans="1:6" hidden="1" x14ac:dyDescent="0.25">
      <c r="A12" s="50">
        <v>1</v>
      </c>
      <c r="B12" s="51" t="s">
        <v>12</v>
      </c>
      <c r="C12" s="52"/>
      <c r="D12" s="53"/>
      <c r="E12" s="17"/>
      <c r="F12" s="18"/>
    </row>
    <row r="13" spans="1:6" hidden="1" x14ac:dyDescent="0.25">
      <c r="A13" s="54">
        <v>1.1000000000000001</v>
      </c>
      <c r="B13" s="55" t="s">
        <v>13</v>
      </c>
      <c r="C13" s="56">
        <v>1</v>
      </c>
      <c r="D13" s="57" t="s">
        <v>14</v>
      </c>
      <c r="E13" s="19">
        <v>15500</v>
      </c>
      <c r="F13" s="20">
        <f>+E13*C13</f>
        <v>15500</v>
      </c>
    </row>
    <row r="14" spans="1:6" hidden="1" x14ac:dyDescent="0.25">
      <c r="A14" s="54">
        <v>1.2</v>
      </c>
      <c r="B14" s="55" t="s">
        <v>15</v>
      </c>
      <c r="C14" s="56">
        <v>4</v>
      </c>
      <c r="D14" s="57" t="s">
        <v>16</v>
      </c>
      <c r="E14" s="19">
        <v>2846.85</v>
      </c>
      <c r="F14" s="20">
        <f t="shared" ref="F14:F77" si="0">+E14*C14</f>
        <v>11387.4</v>
      </c>
    </row>
    <row r="15" spans="1:6" hidden="1" x14ac:dyDescent="0.25">
      <c r="A15" s="54">
        <v>1.3</v>
      </c>
      <c r="B15" s="55" t="s">
        <v>17</v>
      </c>
      <c r="C15" s="56">
        <v>1</v>
      </c>
      <c r="D15" s="57" t="s">
        <v>14</v>
      </c>
      <c r="E15" s="19">
        <v>25000</v>
      </c>
      <c r="F15" s="20">
        <f t="shared" si="0"/>
        <v>25000</v>
      </c>
    </row>
    <row r="16" spans="1:6" hidden="1" x14ac:dyDescent="0.25">
      <c r="A16" s="50"/>
      <c r="B16" s="51"/>
      <c r="C16" s="52"/>
      <c r="D16" s="53"/>
      <c r="E16" s="17"/>
      <c r="F16" s="20"/>
    </row>
    <row r="17" spans="1:6" hidden="1" x14ac:dyDescent="0.25">
      <c r="A17" s="50">
        <v>2</v>
      </c>
      <c r="B17" s="58" t="s">
        <v>18</v>
      </c>
      <c r="C17" s="59"/>
      <c r="D17" s="60"/>
      <c r="E17" s="21"/>
      <c r="F17" s="20"/>
    </row>
    <row r="18" spans="1:6" hidden="1" x14ac:dyDescent="0.25">
      <c r="A18" s="54">
        <v>2.1</v>
      </c>
      <c r="B18" s="61" t="s">
        <v>19</v>
      </c>
      <c r="C18" s="62">
        <v>4</v>
      </c>
      <c r="D18" s="57" t="s">
        <v>16</v>
      </c>
      <c r="E18" s="1">
        <f>+'Analisis presupuesto base'!H10</f>
        <v>769.43333333333339</v>
      </c>
      <c r="F18" s="20">
        <f t="shared" si="0"/>
        <v>3077.7333333333336</v>
      </c>
    </row>
    <row r="19" spans="1:6" hidden="1" x14ac:dyDescent="0.25">
      <c r="A19" s="50"/>
      <c r="B19" s="61"/>
      <c r="C19" s="62"/>
      <c r="D19" s="57"/>
      <c r="E19" s="1"/>
      <c r="F19" s="20"/>
    </row>
    <row r="20" spans="1:6" hidden="1" x14ac:dyDescent="0.25">
      <c r="A20" s="50">
        <v>3</v>
      </c>
      <c r="B20" s="63" t="s">
        <v>20</v>
      </c>
      <c r="C20" s="62"/>
      <c r="D20" s="57"/>
      <c r="E20" s="1"/>
      <c r="F20" s="20"/>
    </row>
    <row r="21" spans="1:6" hidden="1" x14ac:dyDescent="0.25">
      <c r="A21" s="54">
        <v>3.1</v>
      </c>
      <c r="B21" s="61" t="s">
        <v>21</v>
      </c>
      <c r="C21" s="62">
        <v>4</v>
      </c>
      <c r="D21" s="57" t="s">
        <v>16</v>
      </c>
      <c r="E21" s="1">
        <v>2100</v>
      </c>
      <c r="F21" s="20">
        <f t="shared" si="0"/>
        <v>8400</v>
      </c>
    </row>
    <row r="22" spans="1:6" hidden="1" x14ac:dyDescent="0.25">
      <c r="A22" s="54">
        <v>3.2</v>
      </c>
      <c r="B22" s="61" t="s">
        <v>22</v>
      </c>
      <c r="C22" s="62">
        <v>4</v>
      </c>
      <c r="D22" s="57" t="s">
        <v>16</v>
      </c>
      <c r="E22" s="1">
        <v>1694</v>
      </c>
      <c r="F22" s="20">
        <f t="shared" si="0"/>
        <v>6776</v>
      </c>
    </row>
    <row r="23" spans="1:6" hidden="1" x14ac:dyDescent="0.25">
      <c r="A23" s="50"/>
      <c r="B23" s="61"/>
      <c r="C23" s="62"/>
      <c r="D23" s="57"/>
      <c r="E23" s="1"/>
      <c r="F23" s="20"/>
    </row>
    <row r="24" spans="1:6" ht="26.4" hidden="1" x14ac:dyDescent="0.25">
      <c r="A24" s="64">
        <v>4</v>
      </c>
      <c r="B24" s="65" t="s">
        <v>23</v>
      </c>
      <c r="C24" s="66">
        <v>1</v>
      </c>
      <c r="D24" s="57" t="s">
        <v>24</v>
      </c>
      <c r="E24" s="19"/>
      <c r="F24" s="20"/>
    </row>
    <row r="25" spans="1:6" hidden="1" x14ac:dyDescent="0.25">
      <c r="A25" s="67">
        <v>4.0999999999999996</v>
      </c>
      <c r="B25" s="61" t="s">
        <v>25</v>
      </c>
      <c r="C25" s="68">
        <v>1</v>
      </c>
      <c r="D25" s="57" t="s">
        <v>24</v>
      </c>
      <c r="E25" s="19">
        <v>12937.6</v>
      </c>
      <c r="F25" s="20">
        <f t="shared" si="0"/>
        <v>12937.6</v>
      </c>
    </row>
    <row r="26" spans="1:6" hidden="1" x14ac:dyDescent="0.25">
      <c r="A26" s="67">
        <v>4.2</v>
      </c>
      <c r="B26" s="61" t="s">
        <v>26</v>
      </c>
      <c r="C26" s="69">
        <v>1</v>
      </c>
      <c r="D26" s="57" t="s">
        <v>24</v>
      </c>
      <c r="E26" s="19">
        <v>9081.0499999999993</v>
      </c>
      <c r="F26" s="20">
        <f t="shared" si="0"/>
        <v>9081.0499999999993</v>
      </c>
    </row>
    <row r="27" spans="1:6" hidden="1" x14ac:dyDescent="0.25">
      <c r="A27" s="67">
        <v>4.3</v>
      </c>
      <c r="B27" s="61" t="s">
        <v>27</v>
      </c>
      <c r="C27" s="69">
        <v>1</v>
      </c>
      <c r="D27" s="57" t="s">
        <v>24</v>
      </c>
      <c r="E27" s="19">
        <v>6718.69</v>
      </c>
      <c r="F27" s="20">
        <f t="shared" si="0"/>
        <v>6718.69</v>
      </c>
    </row>
    <row r="28" spans="1:6" hidden="1" x14ac:dyDescent="0.25">
      <c r="A28" s="67">
        <v>4.4000000000000004</v>
      </c>
      <c r="B28" s="70" t="s">
        <v>28</v>
      </c>
      <c r="C28" s="66">
        <v>1</v>
      </c>
      <c r="D28" s="57" t="s">
        <v>24</v>
      </c>
      <c r="E28" s="19">
        <v>7899.8739999999998</v>
      </c>
      <c r="F28" s="20">
        <f t="shared" si="0"/>
        <v>7899.8739999999998</v>
      </c>
    </row>
    <row r="29" spans="1:6" hidden="1" x14ac:dyDescent="0.25">
      <c r="A29" s="67">
        <v>4.5</v>
      </c>
      <c r="B29" s="61" t="s">
        <v>29</v>
      </c>
      <c r="C29" s="69">
        <v>2</v>
      </c>
      <c r="D29" s="57" t="s">
        <v>24</v>
      </c>
      <c r="E29" s="19">
        <v>7500</v>
      </c>
      <c r="F29" s="20">
        <f t="shared" si="0"/>
        <v>15000</v>
      </c>
    </row>
    <row r="30" spans="1:6" hidden="1" x14ac:dyDescent="0.25">
      <c r="A30" s="67">
        <v>4.5999999999999996</v>
      </c>
      <c r="B30" s="61" t="s">
        <v>30</v>
      </c>
      <c r="C30" s="69">
        <v>3</v>
      </c>
      <c r="D30" s="57" t="s">
        <v>24</v>
      </c>
      <c r="E30" s="19">
        <v>6500</v>
      </c>
      <c r="F30" s="20">
        <f t="shared" si="0"/>
        <v>19500</v>
      </c>
    </row>
    <row r="31" spans="1:6" hidden="1" x14ac:dyDescent="0.25">
      <c r="A31" s="67">
        <v>4.7</v>
      </c>
      <c r="B31" s="61" t="s">
        <v>31</v>
      </c>
      <c r="C31" s="69">
        <v>1</v>
      </c>
      <c r="D31" s="57" t="s">
        <v>24</v>
      </c>
      <c r="E31" s="19">
        <v>5500</v>
      </c>
      <c r="F31" s="20">
        <f t="shared" si="0"/>
        <v>5500</v>
      </c>
    </row>
    <row r="32" spans="1:6" hidden="1" x14ac:dyDescent="0.25">
      <c r="A32" s="67">
        <v>4.8</v>
      </c>
      <c r="B32" s="61" t="s">
        <v>32</v>
      </c>
      <c r="C32" s="69">
        <v>3</v>
      </c>
      <c r="D32" s="57" t="s">
        <v>24</v>
      </c>
      <c r="E32" s="19">
        <v>8750</v>
      </c>
      <c r="F32" s="20">
        <f t="shared" si="0"/>
        <v>26250</v>
      </c>
    </row>
    <row r="33" spans="1:6" hidden="1" x14ac:dyDescent="0.25">
      <c r="A33" s="67"/>
      <c r="B33" s="61"/>
      <c r="C33" s="69"/>
      <c r="D33" s="57"/>
      <c r="E33" s="19"/>
      <c r="F33" s="20"/>
    </row>
    <row r="34" spans="1:6" ht="26.4" hidden="1" x14ac:dyDescent="0.25">
      <c r="A34" s="71">
        <v>5</v>
      </c>
      <c r="B34" s="72" t="s">
        <v>33</v>
      </c>
      <c r="C34" s="69">
        <v>1</v>
      </c>
      <c r="D34" s="57" t="s">
        <v>24</v>
      </c>
      <c r="E34" s="19">
        <v>25000</v>
      </c>
      <c r="F34" s="20">
        <f t="shared" si="0"/>
        <v>25000</v>
      </c>
    </row>
    <row r="35" spans="1:6" hidden="1" x14ac:dyDescent="0.25">
      <c r="A35" s="71"/>
      <c r="B35" s="61"/>
      <c r="C35" s="69"/>
      <c r="D35" s="57"/>
      <c r="E35" s="19"/>
      <c r="F35" s="20"/>
    </row>
    <row r="36" spans="1:6" hidden="1" x14ac:dyDescent="0.25">
      <c r="A36" s="71">
        <v>6</v>
      </c>
      <c r="B36" s="61" t="s">
        <v>34</v>
      </c>
      <c r="C36" s="69">
        <v>1</v>
      </c>
      <c r="D36" s="57" t="s">
        <v>14</v>
      </c>
      <c r="E36" s="19">
        <v>32000</v>
      </c>
      <c r="F36" s="20">
        <f t="shared" si="0"/>
        <v>32000</v>
      </c>
    </row>
    <row r="37" spans="1:6" hidden="1" x14ac:dyDescent="0.25">
      <c r="A37" s="71"/>
      <c r="B37" s="61"/>
      <c r="C37" s="69"/>
      <c r="D37" s="57"/>
      <c r="E37" s="19"/>
      <c r="F37" s="20"/>
    </row>
    <row r="38" spans="1:6" hidden="1" x14ac:dyDescent="0.25">
      <c r="A38" s="71">
        <v>7</v>
      </c>
      <c r="B38" s="61" t="s">
        <v>35</v>
      </c>
      <c r="C38" s="69">
        <v>1</v>
      </c>
      <c r="D38" s="57" t="s">
        <v>24</v>
      </c>
      <c r="E38" s="19">
        <v>25000</v>
      </c>
      <c r="F38" s="20">
        <f t="shared" si="0"/>
        <v>25000</v>
      </c>
    </row>
    <row r="39" spans="1:6" hidden="1" x14ac:dyDescent="0.25">
      <c r="A39" s="73"/>
      <c r="B39" s="73" t="s">
        <v>36</v>
      </c>
      <c r="C39" s="74"/>
      <c r="D39" s="75"/>
      <c r="E39" s="22"/>
      <c r="F39" s="22">
        <f>SUM(F13:F38)</f>
        <v>255028.34733333334</v>
      </c>
    </row>
    <row r="40" spans="1:6" hidden="1" x14ac:dyDescent="0.25">
      <c r="A40" s="76"/>
      <c r="B40" s="76"/>
      <c r="C40" s="66"/>
      <c r="D40" s="49"/>
      <c r="E40" s="19"/>
      <c r="F40" s="20"/>
    </row>
    <row r="41" spans="1:6" hidden="1" x14ac:dyDescent="0.25">
      <c r="A41" s="77" t="s">
        <v>37</v>
      </c>
      <c r="B41" s="78" t="s">
        <v>38</v>
      </c>
      <c r="C41" s="66"/>
      <c r="D41" s="49"/>
      <c r="E41" s="19"/>
      <c r="F41" s="20"/>
    </row>
    <row r="42" spans="1:6" hidden="1" x14ac:dyDescent="0.25">
      <c r="A42" s="76"/>
      <c r="B42" s="76"/>
      <c r="C42" s="66"/>
      <c r="D42" s="49"/>
      <c r="E42" s="19"/>
      <c r="F42" s="20"/>
    </row>
    <row r="43" spans="1:6" hidden="1" x14ac:dyDescent="0.25">
      <c r="A43" s="79">
        <v>1</v>
      </c>
      <c r="B43" s="80" t="s">
        <v>39</v>
      </c>
      <c r="C43" s="66">
        <v>21027</v>
      </c>
      <c r="D43" s="81" t="s">
        <v>40</v>
      </c>
      <c r="E43" s="19">
        <f>+'Analisis presupuesto base'!H106</f>
        <v>41.064</v>
      </c>
      <c r="F43" s="20">
        <v>863452.73</v>
      </c>
    </row>
    <row r="44" spans="1:6" hidden="1" x14ac:dyDescent="0.25">
      <c r="A44" s="82"/>
      <c r="B44" s="76"/>
      <c r="C44" s="66"/>
      <c r="D44" s="81"/>
      <c r="E44" s="19"/>
      <c r="F44" s="20"/>
    </row>
    <row r="45" spans="1:6" hidden="1" x14ac:dyDescent="0.25">
      <c r="A45" s="83">
        <v>2</v>
      </c>
      <c r="B45" s="84" t="s">
        <v>41</v>
      </c>
      <c r="C45" s="66"/>
      <c r="D45" s="85"/>
      <c r="E45" s="19"/>
      <c r="F45" s="20"/>
    </row>
    <row r="46" spans="1:6" hidden="1" x14ac:dyDescent="0.25">
      <c r="A46" s="86">
        <v>2.1</v>
      </c>
      <c r="B46" s="87" t="s">
        <v>42</v>
      </c>
      <c r="C46" s="56">
        <v>27648</v>
      </c>
      <c r="D46" s="81" t="s">
        <v>40</v>
      </c>
      <c r="E46" s="19">
        <v>33.71</v>
      </c>
      <c r="F46" s="20">
        <v>931895.59</v>
      </c>
    </row>
    <row r="47" spans="1:6" ht="13.8" hidden="1" x14ac:dyDescent="0.25">
      <c r="A47" s="54">
        <v>2.2000000000000002</v>
      </c>
      <c r="B47" s="87" t="s">
        <v>43</v>
      </c>
      <c r="C47" s="56">
        <v>10368</v>
      </c>
      <c r="D47" s="57" t="s">
        <v>44</v>
      </c>
      <c r="E47" s="19">
        <f>+'Analisis presupuesto base'!H129</f>
        <v>39.742666666666665</v>
      </c>
      <c r="F47" s="20">
        <v>412051.97</v>
      </c>
    </row>
    <row r="48" spans="1:6" ht="13.8" hidden="1" x14ac:dyDescent="0.25">
      <c r="A48" s="86">
        <v>2.2999999999999998</v>
      </c>
      <c r="B48" s="87" t="s">
        <v>45</v>
      </c>
      <c r="C48" s="56">
        <v>673.92</v>
      </c>
      <c r="D48" s="57" t="s">
        <v>46</v>
      </c>
      <c r="E48" s="19">
        <f>+'Analisis presupuesto base'!H139</f>
        <v>168.85036470588236</v>
      </c>
      <c r="F48" s="20">
        <v>113791.64</v>
      </c>
    </row>
    <row r="49" spans="1:6" hidden="1" x14ac:dyDescent="0.25">
      <c r="A49" s="78"/>
      <c r="B49" s="88"/>
      <c r="C49" s="66"/>
      <c r="D49" s="85"/>
      <c r="E49" s="19"/>
      <c r="F49" s="20"/>
    </row>
    <row r="50" spans="1:6" hidden="1" x14ac:dyDescent="0.25">
      <c r="A50" s="89">
        <v>3</v>
      </c>
      <c r="B50" s="89" t="s">
        <v>47</v>
      </c>
      <c r="C50" s="90"/>
      <c r="D50" s="91"/>
      <c r="E50" s="23"/>
      <c r="F50" s="20"/>
    </row>
    <row r="51" spans="1:6" ht="15.6" hidden="1" x14ac:dyDescent="0.25">
      <c r="A51" s="78">
        <v>3.1</v>
      </c>
      <c r="B51" s="63" t="s">
        <v>48</v>
      </c>
      <c r="C51" s="66"/>
      <c r="D51" s="85"/>
      <c r="E51" s="19"/>
      <c r="F51" s="20"/>
    </row>
    <row r="52" spans="1:6" ht="13.8" hidden="1" x14ac:dyDescent="0.25">
      <c r="A52" s="92" t="s">
        <v>49</v>
      </c>
      <c r="B52" s="61" t="s">
        <v>50</v>
      </c>
      <c r="C52" s="66">
        <v>11203.06</v>
      </c>
      <c r="D52" s="57" t="s">
        <v>46</v>
      </c>
      <c r="E52" s="19">
        <f>+'Analisis presupuesto base'!H152</f>
        <v>82.20488499999999</v>
      </c>
      <c r="F52" s="20">
        <v>920946.26</v>
      </c>
    </row>
    <row r="53" spans="1:6" ht="13.8" hidden="1" x14ac:dyDescent="0.25">
      <c r="A53" s="92" t="s">
        <v>51</v>
      </c>
      <c r="B53" s="61" t="s">
        <v>52</v>
      </c>
      <c r="C53" s="66">
        <v>4801.3100000000004</v>
      </c>
      <c r="D53" s="57" t="s">
        <v>46</v>
      </c>
      <c r="E53" s="19">
        <f>+'Analisis presupuesto base'!H155</f>
        <v>466.69285714285712</v>
      </c>
      <c r="F53" s="20">
        <v>2240737.08</v>
      </c>
    </row>
    <row r="54" spans="1:6" ht="13.8" hidden="1" x14ac:dyDescent="0.25">
      <c r="A54" s="92" t="s">
        <v>53</v>
      </c>
      <c r="B54" s="87" t="s">
        <v>54</v>
      </c>
      <c r="C54" s="66">
        <v>15770.25</v>
      </c>
      <c r="D54" s="57" t="s">
        <v>44</v>
      </c>
      <c r="E54" s="24">
        <v>75</v>
      </c>
      <c r="F54" s="20">
        <f t="shared" si="0"/>
        <v>1182768.75</v>
      </c>
    </row>
    <row r="55" spans="1:6" ht="13.8" hidden="1" x14ac:dyDescent="0.25">
      <c r="A55" s="92" t="s">
        <v>55</v>
      </c>
      <c r="B55" s="93" t="s">
        <v>56</v>
      </c>
      <c r="C55" s="66">
        <v>1293.6199999999999</v>
      </c>
      <c r="D55" s="57" t="s">
        <v>46</v>
      </c>
      <c r="E55" s="19">
        <v>800</v>
      </c>
      <c r="F55" s="20">
        <f t="shared" si="0"/>
        <v>1034895.9999999999</v>
      </c>
    </row>
    <row r="56" spans="1:6" ht="13.8" hidden="1" x14ac:dyDescent="0.25">
      <c r="A56" s="92" t="s">
        <v>57</v>
      </c>
      <c r="B56" s="61" t="s">
        <v>58</v>
      </c>
      <c r="C56" s="94">
        <v>5761.57</v>
      </c>
      <c r="D56" s="57" t="s">
        <v>46</v>
      </c>
      <c r="E56" s="25">
        <f>+'Analisis presupuesto base'!H180</f>
        <v>580.94114000000002</v>
      </c>
      <c r="F56" s="20">
        <v>3347133.04</v>
      </c>
    </row>
    <row r="57" spans="1:6" ht="26.4" hidden="1" x14ac:dyDescent="0.25">
      <c r="A57" s="92" t="s">
        <v>59</v>
      </c>
      <c r="B57" s="72" t="s">
        <v>60</v>
      </c>
      <c r="C57" s="95">
        <v>13808.54</v>
      </c>
      <c r="D57" s="96" t="s">
        <v>61</v>
      </c>
      <c r="E57" s="26">
        <f>+'Analisis presupuesto base'!H197</f>
        <v>226.03051432000004</v>
      </c>
      <c r="F57" s="20">
        <v>3121151.4</v>
      </c>
    </row>
    <row r="58" spans="1:6" ht="26.4" hidden="1" x14ac:dyDescent="0.25">
      <c r="A58" s="92" t="s">
        <v>62</v>
      </c>
      <c r="B58" s="72" t="s">
        <v>63</v>
      </c>
      <c r="C58" s="97">
        <v>8876.7000000000007</v>
      </c>
      <c r="D58" s="98" t="s">
        <v>46</v>
      </c>
      <c r="E58" s="26">
        <f>+'Analisis presupuesto base'!H207</f>
        <v>223.970844</v>
      </c>
      <c r="F58" s="20">
        <v>1988121.99</v>
      </c>
    </row>
    <row r="59" spans="1:6" hidden="1" x14ac:dyDescent="0.25">
      <c r="A59" s="99"/>
      <c r="B59" s="76"/>
      <c r="C59" s="100"/>
      <c r="D59" s="81"/>
      <c r="E59" s="17"/>
      <c r="F59" s="20"/>
    </row>
    <row r="60" spans="1:6" hidden="1" x14ac:dyDescent="0.25">
      <c r="A60" s="99"/>
      <c r="B60" s="76"/>
      <c r="C60" s="100"/>
      <c r="D60" s="81"/>
      <c r="E60" s="17"/>
      <c r="F60" s="20"/>
    </row>
    <row r="61" spans="1:6" hidden="1" x14ac:dyDescent="0.25">
      <c r="A61" s="101">
        <v>4</v>
      </c>
      <c r="B61" s="80" t="s">
        <v>64</v>
      </c>
      <c r="C61" s="100"/>
      <c r="D61" s="81"/>
      <c r="E61" s="17"/>
      <c r="F61" s="20"/>
    </row>
    <row r="62" spans="1:6" hidden="1" x14ac:dyDescent="0.25">
      <c r="A62" s="102">
        <v>4.0999999999999996</v>
      </c>
      <c r="B62" s="103" t="s">
        <v>65</v>
      </c>
      <c r="C62" s="66">
        <v>1339</v>
      </c>
      <c r="D62" s="81" t="s">
        <v>40</v>
      </c>
      <c r="E62" s="25">
        <f>+'Analisis presupuesto base'!H214</f>
        <v>1576.6975500000001</v>
      </c>
      <c r="F62" s="20">
        <v>2111198.02</v>
      </c>
    </row>
    <row r="63" spans="1:6" hidden="1" x14ac:dyDescent="0.25">
      <c r="A63" s="102">
        <v>4.2</v>
      </c>
      <c r="B63" s="103" t="s">
        <v>66</v>
      </c>
      <c r="C63" s="66">
        <v>1287.5</v>
      </c>
      <c r="D63" s="81" t="s">
        <v>40</v>
      </c>
      <c r="E63" s="19">
        <v>1490</v>
      </c>
      <c r="F63" s="20">
        <v>1918375</v>
      </c>
    </row>
    <row r="64" spans="1:6" hidden="1" x14ac:dyDescent="0.25">
      <c r="A64" s="102">
        <v>4.3</v>
      </c>
      <c r="B64" s="103" t="s">
        <v>67</v>
      </c>
      <c r="C64" s="66">
        <v>7456.2</v>
      </c>
      <c r="D64" s="81" t="s">
        <v>40</v>
      </c>
      <c r="E64" s="19">
        <v>1313</v>
      </c>
      <c r="F64" s="20">
        <f t="shared" si="0"/>
        <v>9789990.5999999996</v>
      </c>
    </row>
    <row r="65" spans="1:6" hidden="1" x14ac:dyDescent="0.25">
      <c r="A65" s="102">
        <v>4.4000000000000004</v>
      </c>
      <c r="B65" s="103" t="s">
        <v>68</v>
      </c>
      <c r="C65" s="66">
        <v>11390.34</v>
      </c>
      <c r="D65" s="81" t="s">
        <v>40</v>
      </c>
      <c r="E65" s="19">
        <v>1189.0999999999999</v>
      </c>
      <c r="F65" s="20">
        <f t="shared" si="0"/>
        <v>13544253.294</v>
      </c>
    </row>
    <row r="66" spans="1:6" hidden="1" x14ac:dyDescent="0.25">
      <c r="A66" s="104"/>
      <c r="B66" s="76"/>
      <c r="C66" s="66"/>
      <c r="D66" s="81"/>
      <c r="E66" s="19"/>
      <c r="F66" s="20"/>
    </row>
    <row r="67" spans="1:6" hidden="1" x14ac:dyDescent="0.25">
      <c r="A67" s="101">
        <v>5</v>
      </c>
      <c r="B67" s="80" t="s">
        <v>69</v>
      </c>
      <c r="C67" s="66"/>
      <c r="D67" s="81"/>
      <c r="E67" s="19"/>
      <c r="F67" s="20"/>
    </row>
    <row r="68" spans="1:6" hidden="1" x14ac:dyDescent="0.25">
      <c r="A68" s="102">
        <v>5.0999999999999996</v>
      </c>
      <c r="B68" s="103" t="s">
        <v>70</v>
      </c>
      <c r="C68" s="66">
        <v>1300</v>
      </c>
      <c r="D68" s="81" t="s">
        <v>40</v>
      </c>
      <c r="E68" s="19">
        <v>75</v>
      </c>
      <c r="F68" s="20">
        <f t="shared" si="0"/>
        <v>97500</v>
      </c>
    </row>
    <row r="69" spans="1:6" hidden="1" x14ac:dyDescent="0.25">
      <c r="A69" s="102">
        <v>5.2</v>
      </c>
      <c r="B69" s="103" t="s">
        <v>71</v>
      </c>
      <c r="C69" s="66">
        <v>1250</v>
      </c>
      <c r="D69" s="81" t="s">
        <v>40</v>
      </c>
      <c r="E69" s="19">
        <v>70.61</v>
      </c>
      <c r="F69" s="20">
        <f t="shared" si="0"/>
        <v>88262.5</v>
      </c>
    </row>
    <row r="70" spans="1:6" hidden="1" x14ac:dyDescent="0.25">
      <c r="A70" s="102">
        <v>5.3</v>
      </c>
      <c r="B70" s="103" t="s">
        <v>72</v>
      </c>
      <c r="C70" s="66">
        <v>7310</v>
      </c>
      <c r="D70" s="81" t="s">
        <v>40</v>
      </c>
      <c r="E70" s="19">
        <v>63</v>
      </c>
      <c r="F70" s="20">
        <f t="shared" si="0"/>
        <v>460530</v>
      </c>
    </row>
    <row r="71" spans="1:6" hidden="1" x14ac:dyDescent="0.25">
      <c r="A71" s="102">
        <v>5.4</v>
      </c>
      <c r="B71" s="103" t="s">
        <v>73</v>
      </c>
      <c r="C71" s="66">
        <v>11167</v>
      </c>
      <c r="D71" s="81" t="s">
        <v>40</v>
      </c>
      <c r="E71" s="19">
        <v>55</v>
      </c>
      <c r="F71" s="20">
        <f t="shared" si="0"/>
        <v>614185</v>
      </c>
    </row>
    <row r="72" spans="1:6" hidden="1" x14ac:dyDescent="0.25">
      <c r="A72" s="102"/>
      <c r="B72" s="103"/>
      <c r="C72" s="66"/>
      <c r="D72" s="81"/>
      <c r="E72" s="19"/>
      <c r="F72" s="20"/>
    </row>
    <row r="73" spans="1:6" hidden="1" x14ac:dyDescent="0.25">
      <c r="A73" s="105">
        <v>6</v>
      </c>
      <c r="B73" s="63" t="s">
        <v>74</v>
      </c>
      <c r="C73" s="66"/>
      <c r="D73" s="81"/>
      <c r="E73" s="19"/>
      <c r="F73" s="20"/>
    </row>
    <row r="74" spans="1:6" hidden="1" x14ac:dyDescent="0.25">
      <c r="A74" s="102">
        <v>6.1</v>
      </c>
      <c r="B74" s="103" t="s">
        <v>70</v>
      </c>
      <c r="C74" s="66">
        <v>1300</v>
      </c>
      <c r="D74" s="81" t="s">
        <v>40</v>
      </c>
      <c r="E74" s="19">
        <v>35</v>
      </c>
      <c r="F74" s="20">
        <f t="shared" si="0"/>
        <v>45500</v>
      </c>
    </row>
    <row r="75" spans="1:6" hidden="1" x14ac:dyDescent="0.25">
      <c r="A75" s="102">
        <v>6.2</v>
      </c>
      <c r="B75" s="103" t="s">
        <v>71</v>
      </c>
      <c r="C75" s="66">
        <v>1250</v>
      </c>
      <c r="D75" s="81" t="s">
        <v>40</v>
      </c>
      <c r="E75" s="19">
        <v>30</v>
      </c>
      <c r="F75" s="20">
        <f t="shared" si="0"/>
        <v>37500</v>
      </c>
    </row>
    <row r="76" spans="1:6" hidden="1" x14ac:dyDescent="0.25">
      <c r="A76" s="102">
        <v>6.3</v>
      </c>
      <c r="B76" s="103" t="s">
        <v>72</v>
      </c>
      <c r="C76" s="66">
        <v>7310</v>
      </c>
      <c r="D76" s="81" t="s">
        <v>40</v>
      </c>
      <c r="E76" s="19">
        <v>25</v>
      </c>
      <c r="F76" s="20">
        <f t="shared" si="0"/>
        <v>182750</v>
      </c>
    </row>
    <row r="77" spans="1:6" hidden="1" x14ac:dyDescent="0.25">
      <c r="A77" s="102">
        <v>6.4</v>
      </c>
      <c r="B77" s="103" t="s">
        <v>73</v>
      </c>
      <c r="C77" s="66">
        <v>11167</v>
      </c>
      <c r="D77" s="81" t="s">
        <v>40</v>
      </c>
      <c r="E77" s="19">
        <v>20</v>
      </c>
      <c r="F77" s="20">
        <f t="shared" si="0"/>
        <v>223340</v>
      </c>
    </row>
    <row r="78" spans="1:6" hidden="1" x14ac:dyDescent="0.25">
      <c r="A78" s="102"/>
      <c r="B78" s="103"/>
      <c r="C78" s="66"/>
      <c r="D78" s="81"/>
      <c r="E78" s="19"/>
      <c r="F78" s="20"/>
    </row>
    <row r="79" spans="1:6" hidden="1" x14ac:dyDescent="0.25">
      <c r="A79" s="106">
        <v>7</v>
      </c>
      <c r="B79" s="65" t="s">
        <v>75</v>
      </c>
      <c r="C79" s="66"/>
      <c r="D79" s="81"/>
      <c r="E79" s="27"/>
      <c r="F79" s="20"/>
    </row>
    <row r="80" spans="1:6" hidden="1" x14ac:dyDescent="0.25">
      <c r="A80" s="106">
        <v>7.1</v>
      </c>
      <c r="B80" s="65" t="s">
        <v>76</v>
      </c>
      <c r="C80" s="66"/>
      <c r="D80" s="81"/>
      <c r="E80" s="27"/>
      <c r="F80" s="20"/>
    </row>
    <row r="81" spans="1:6" hidden="1" x14ac:dyDescent="0.25">
      <c r="A81" s="107" t="s">
        <v>77</v>
      </c>
      <c r="B81" s="61" t="s">
        <v>78</v>
      </c>
      <c r="C81" s="69">
        <v>1</v>
      </c>
      <c r="D81" s="57" t="s">
        <v>24</v>
      </c>
      <c r="E81" s="24">
        <v>5537.51</v>
      </c>
      <c r="F81" s="20">
        <f t="shared" ref="F81:F139" si="1">+E81*C81</f>
        <v>5537.51</v>
      </c>
    </row>
    <row r="82" spans="1:6" hidden="1" x14ac:dyDescent="0.25">
      <c r="A82" s="107" t="s">
        <v>79</v>
      </c>
      <c r="B82" s="61" t="s">
        <v>80</v>
      </c>
      <c r="C82" s="69">
        <v>1</v>
      </c>
      <c r="D82" s="57" t="s">
        <v>24</v>
      </c>
      <c r="E82" s="24">
        <v>5537.51</v>
      </c>
      <c r="F82" s="20">
        <f t="shared" si="1"/>
        <v>5537.51</v>
      </c>
    </row>
    <row r="83" spans="1:6" hidden="1" x14ac:dyDescent="0.25">
      <c r="A83" s="107" t="s">
        <v>81</v>
      </c>
      <c r="B83" s="61" t="s">
        <v>82</v>
      </c>
      <c r="C83" s="69">
        <v>3</v>
      </c>
      <c r="D83" s="57" t="s">
        <v>24</v>
      </c>
      <c r="E83" s="24">
        <v>5537.51</v>
      </c>
      <c r="F83" s="20">
        <f t="shared" si="1"/>
        <v>16612.53</v>
      </c>
    </row>
    <row r="84" spans="1:6" hidden="1" x14ac:dyDescent="0.25">
      <c r="A84" s="107" t="s">
        <v>83</v>
      </c>
      <c r="B84" s="61" t="s">
        <v>26</v>
      </c>
      <c r="C84" s="69">
        <v>5</v>
      </c>
      <c r="D84" s="57" t="s">
        <v>24</v>
      </c>
      <c r="E84" s="24">
        <v>5537.51</v>
      </c>
      <c r="F84" s="20">
        <f t="shared" si="1"/>
        <v>27687.550000000003</v>
      </c>
    </row>
    <row r="85" spans="1:6" hidden="1" x14ac:dyDescent="0.25">
      <c r="A85" s="107" t="s">
        <v>84</v>
      </c>
      <c r="B85" s="61" t="s">
        <v>85</v>
      </c>
      <c r="C85" s="69">
        <v>2</v>
      </c>
      <c r="D85" s="57" t="s">
        <v>24</v>
      </c>
      <c r="E85" s="24">
        <v>5537.51</v>
      </c>
      <c r="F85" s="20">
        <f t="shared" si="1"/>
        <v>11075.02</v>
      </c>
    </row>
    <row r="86" spans="1:6" hidden="1" x14ac:dyDescent="0.25">
      <c r="A86" s="107" t="s">
        <v>86</v>
      </c>
      <c r="B86" s="61" t="s">
        <v>87</v>
      </c>
      <c r="C86" s="69">
        <v>2</v>
      </c>
      <c r="D86" s="57" t="s">
        <v>24</v>
      </c>
      <c r="E86" s="24">
        <v>5537.51</v>
      </c>
      <c r="F86" s="20">
        <f t="shared" si="1"/>
        <v>11075.02</v>
      </c>
    </row>
    <row r="87" spans="1:6" hidden="1" x14ac:dyDescent="0.25">
      <c r="A87" s="107" t="s">
        <v>88</v>
      </c>
      <c r="B87" s="61" t="s">
        <v>89</v>
      </c>
      <c r="C87" s="69">
        <v>2</v>
      </c>
      <c r="D87" s="57" t="s">
        <v>24</v>
      </c>
      <c r="E87" s="24">
        <v>5537.51</v>
      </c>
      <c r="F87" s="20">
        <f t="shared" si="1"/>
        <v>11075.02</v>
      </c>
    </row>
    <row r="88" spans="1:6" hidden="1" x14ac:dyDescent="0.25">
      <c r="A88" s="107" t="s">
        <v>90</v>
      </c>
      <c r="B88" s="61" t="s">
        <v>91</v>
      </c>
      <c r="C88" s="66">
        <v>1</v>
      </c>
      <c r="D88" s="57" t="s">
        <v>24</v>
      </c>
      <c r="E88" s="24">
        <v>5537.51</v>
      </c>
      <c r="F88" s="20">
        <f t="shared" si="1"/>
        <v>5537.51</v>
      </c>
    </row>
    <row r="89" spans="1:6" hidden="1" x14ac:dyDescent="0.25">
      <c r="A89" s="107" t="s">
        <v>92</v>
      </c>
      <c r="B89" s="61" t="s">
        <v>93</v>
      </c>
      <c r="C89" s="66">
        <v>5</v>
      </c>
      <c r="D89" s="57" t="s">
        <v>24</v>
      </c>
      <c r="E89" s="24">
        <v>5537.51</v>
      </c>
      <c r="F89" s="20">
        <f t="shared" si="1"/>
        <v>27687.550000000003</v>
      </c>
    </row>
    <row r="90" spans="1:6" hidden="1" x14ac:dyDescent="0.25">
      <c r="A90" s="107" t="s">
        <v>94</v>
      </c>
      <c r="B90" s="61" t="s">
        <v>95</v>
      </c>
      <c r="C90" s="66">
        <v>1</v>
      </c>
      <c r="D90" s="57" t="s">
        <v>24</v>
      </c>
      <c r="E90" s="24">
        <v>5537.51</v>
      </c>
      <c r="F90" s="20">
        <f t="shared" si="1"/>
        <v>5537.51</v>
      </c>
    </row>
    <row r="91" spans="1:6" hidden="1" x14ac:dyDescent="0.25">
      <c r="A91" s="107" t="s">
        <v>96</v>
      </c>
      <c r="B91" s="61" t="s">
        <v>97</v>
      </c>
      <c r="C91" s="66">
        <v>1</v>
      </c>
      <c r="D91" s="57" t="s">
        <v>24</v>
      </c>
      <c r="E91" s="24">
        <v>5537.51</v>
      </c>
      <c r="F91" s="20">
        <f t="shared" si="1"/>
        <v>5537.51</v>
      </c>
    </row>
    <row r="92" spans="1:6" hidden="1" x14ac:dyDescent="0.25">
      <c r="A92" s="107" t="s">
        <v>98</v>
      </c>
      <c r="B92" s="61" t="s">
        <v>99</v>
      </c>
      <c r="C92" s="66">
        <v>1</v>
      </c>
      <c r="D92" s="57" t="s">
        <v>24</v>
      </c>
      <c r="E92" s="24">
        <v>5537.51</v>
      </c>
      <c r="F92" s="20">
        <f t="shared" si="1"/>
        <v>5537.51</v>
      </c>
    </row>
    <row r="93" spans="1:6" hidden="1" x14ac:dyDescent="0.25">
      <c r="A93" s="107" t="s">
        <v>100</v>
      </c>
      <c r="B93" s="61" t="s">
        <v>101</v>
      </c>
      <c r="C93" s="66">
        <v>1</v>
      </c>
      <c r="D93" s="57" t="s">
        <v>24</v>
      </c>
      <c r="E93" s="24">
        <v>5537.51</v>
      </c>
      <c r="F93" s="20">
        <f t="shared" si="1"/>
        <v>5537.51</v>
      </c>
    </row>
    <row r="94" spans="1:6" hidden="1" x14ac:dyDescent="0.25">
      <c r="A94" s="108" t="s">
        <v>102</v>
      </c>
      <c r="B94" s="109" t="s">
        <v>103</v>
      </c>
      <c r="C94" s="90">
        <v>2</v>
      </c>
      <c r="D94" s="110" t="s">
        <v>24</v>
      </c>
      <c r="E94" s="24">
        <v>5537.51</v>
      </c>
      <c r="F94" s="20">
        <f t="shared" si="1"/>
        <v>11075.02</v>
      </c>
    </row>
    <row r="95" spans="1:6" hidden="1" x14ac:dyDescent="0.25">
      <c r="A95" s="107"/>
      <c r="B95" s="61"/>
      <c r="C95" s="69"/>
      <c r="D95" s="57"/>
      <c r="E95" s="24"/>
      <c r="F95" s="20"/>
    </row>
    <row r="96" spans="1:6" hidden="1" x14ac:dyDescent="0.25">
      <c r="A96" s="111">
        <v>7.2</v>
      </c>
      <c r="B96" s="65" t="s">
        <v>104</v>
      </c>
      <c r="C96" s="69"/>
      <c r="D96" s="57"/>
      <c r="E96" s="24"/>
      <c r="F96" s="20"/>
    </row>
    <row r="97" spans="1:6" hidden="1" x14ac:dyDescent="0.25">
      <c r="A97" s="107" t="s">
        <v>105</v>
      </c>
      <c r="B97" s="61" t="s">
        <v>106</v>
      </c>
      <c r="C97" s="69">
        <v>7</v>
      </c>
      <c r="D97" s="57" t="s">
        <v>24</v>
      </c>
      <c r="E97" s="24">
        <v>5537.51</v>
      </c>
      <c r="F97" s="20">
        <f t="shared" si="1"/>
        <v>38762.57</v>
      </c>
    </row>
    <row r="98" spans="1:6" hidden="1" x14ac:dyDescent="0.25">
      <c r="A98" s="107" t="s">
        <v>107</v>
      </c>
      <c r="B98" s="61" t="s">
        <v>108</v>
      </c>
      <c r="C98" s="69">
        <v>3</v>
      </c>
      <c r="D98" s="57" t="s">
        <v>24</v>
      </c>
      <c r="E98" s="24">
        <v>5537.51</v>
      </c>
      <c r="F98" s="20">
        <f t="shared" si="1"/>
        <v>16612.53</v>
      </c>
    </row>
    <row r="99" spans="1:6" hidden="1" x14ac:dyDescent="0.25">
      <c r="A99" s="107" t="s">
        <v>109</v>
      </c>
      <c r="B99" s="61" t="s">
        <v>110</v>
      </c>
      <c r="C99" s="69">
        <v>10</v>
      </c>
      <c r="D99" s="57" t="s">
        <v>24</v>
      </c>
      <c r="E99" s="24">
        <v>5537.51</v>
      </c>
      <c r="F99" s="20">
        <f t="shared" si="1"/>
        <v>55375.100000000006</v>
      </c>
    </row>
    <row r="100" spans="1:6" hidden="1" x14ac:dyDescent="0.25">
      <c r="A100" s="107" t="s">
        <v>111</v>
      </c>
      <c r="B100" s="61" t="s">
        <v>112</v>
      </c>
      <c r="C100" s="69">
        <v>18</v>
      </c>
      <c r="D100" s="57" t="s">
        <v>24</v>
      </c>
      <c r="E100" s="24">
        <v>5537.51</v>
      </c>
      <c r="F100" s="20">
        <f t="shared" si="1"/>
        <v>99675.180000000008</v>
      </c>
    </row>
    <row r="101" spans="1:6" hidden="1" x14ac:dyDescent="0.25">
      <c r="A101" s="107" t="s">
        <v>113</v>
      </c>
      <c r="B101" s="61" t="s">
        <v>114</v>
      </c>
      <c r="C101" s="66">
        <v>35</v>
      </c>
      <c r="D101" s="57" t="s">
        <v>24</v>
      </c>
      <c r="E101" s="24">
        <v>5537.51</v>
      </c>
      <c r="F101" s="20">
        <f t="shared" si="1"/>
        <v>193812.85</v>
      </c>
    </row>
    <row r="102" spans="1:6" hidden="1" x14ac:dyDescent="0.25">
      <c r="A102" s="107" t="s">
        <v>115</v>
      </c>
      <c r="B102" s="61" t="s">
        <v>116</v>
      </c>
      <c r="C102" s="56">
        <v>4</v>
      </c>
      <c r="D102" s="57" t="s">
        <v>24</v>
      </c>
      <c r="E102" s="24">
        <v>5537.51</v>
      </c>
      <c r="F102" s="20">
        <f t="shared" si="1"/>
        <v>22150.04</v>
      </c>
    </row>
    <row r="103" spans="1:6" hidden="1" x14ac:dyDescent="0.25">
      <c r="A103" s="107" t="s">
        <v>117</v>
      </c>
      <c r="B103" s="61" t="s">
        <v>118</v>
      </c>
      <c r="C103" s="56">
        <v>41</v>
      </c>
      <c r="D103" s="57" t="s">
        <v>24</v>
      </c>
      <c r="E103" s="24">
        <v>5537.51</v>
      </c>
      <c r="F103" s="20">
        <f t="shared" si="1"/>
        <v>227037.91</v>
      </c>
    </row>
    <row r="104" spans="1:6" hidden="1" x14ac:dyDescent="0.25">
      <c r="A104" s="107" t="s">
        <v>119</v>
      </c>
      <c r="B104" s="61" t="s">
        <v>120</v>
      </c>
      <c r="C104" s="56">
        <v>44</v>
      </c>
      <c r="D104" s="57" t="s">
        <v>24</v>
      </c>
      <c r="E104" s="24">
        <v>5537.51</v>
      </c>
      <c r="F104" s="20">
        <f t="shared" si="1"/>
        <v>243650.44</v>
      </c>
    </row>
    <row r="105" spans="1:6" hidden="1" x14ac:dyDescent="0.25">
      <c r="A105" s="107" t="s">
        <v>121</v>
      </c>
      <c r="B105" s="61" t="s">
        <v>122</v>
      </c>
      <c r="C105" s="69">
        <v>15</v>
      </c>
      <c r="D105" s="57" t="s">
        <v>24</v>
      </c>
      <c r="E105" s="24">
        <v>5537.51</v>
      </c>
      <c r="F105" s="20">
        <f t="shared" si="1"/>
        <v>83062.650000000009</v>
      </c>
    </row>
    <row r="106" spans="1:6" ht="13.8" hidden="1" x14ac:dyDescent="0.25">
      <c r="A106" s="107" t="s">
        <v>123</v>
      </c>
      <c r="B106" s="61" t="s">
        <v>124</v>
      </c>
      <c r="C106" s="69">
        <v>46</v>
      </c>
      <c r="D106" s="57" t="s">
        <v>24</v>
      </c>
      <c r="E106" s="24">
        <v>1500</v>
      </c>
      <c r="F106" s="20">
        <f t="shared" si="1"/>
        <v>69000</v>
      </c>
    </row>
    <row r="107" spans="1:6" hidden="1" x14ac:dyDescent="0.25">
      <c r="A107" s="107" t="s">
        <v>125</v>
      </c>
      <c r="B107" s="61" t="s">
        <v>126</v>
      </c>
      <c r="C107" s="69">
        <v>510</v>
      </c>
      <c r="D107" s="57" t="s">
        <v>24</v>
      </c>
      <c r="E107" s="24">
        <v>1100</v>
      </c>
      <c r="F107" s="20">
        <f t="shared" si="1"/>
        <v>561000</v>
      </c>
    </row>
    <row r="108" spans="1:6" hidden="1" x14ac:dyDescent="0.25">
      <c r="A108" s="107" t="s">
        <v>127</v>
      </c>
      <c r="B108" s="112" t="s">
        <v>128</v>
      </c>
      <c r="C108" s="69">
        <v>177</v>
      </c>
      <c r="D108" s="57" t="s">
        <v>24</v>
      </c>
      <c r="E108" s="24">
        <v>4500</v>
      </c>
      <c r="F108" s="20">
        <f t="shared" si="1"/>
        <v>796500</v>
      </c>
    </row>
    <row r="109" spans="1:6" hidden="1" x14ac:dyDescent="0.25">
      <c r="A109" s="107" t="s">
        <v>129</v>
      </c>
      <c r="B109" s="61" t="s">
        <v>130</v>
      </c>
      <c r="C109" s="69">
        <v>46</v>
      </c>
      <c r="D109" s="57" t="s">
        <v>24</v>
      </c>
      <c r="E109" s="24">
        <v>2500</v>
      </c>
      <c r="F109" s="20">
        <f t="shared" si="1"/>
        <v>115000</v>
      </c>
    </row>
    <row r="110" spans="1:6" hidden="1" x14ac:dyDescent="0.25">
      <c r="A110" s="113"/>
      <c r="B110" s="114"/>
      <c r="C110" s="115"/>
      <c r="D110" s="81"/>
      <c r="E110" s="27"/>
      <c r="F110" s="20"/>
    </row>
    <row r="111" spans="1:6" hidden="1" x14ac:dyDescent="0.25">
      <c r="A111" s="116">
        <v>8</v>
      </c>
      <c r="B111" s="117" t="s">
        <v>131</v>
      </c>
      <c r="C111" s="69"/>
      <c r="D111" s="57"/>
      <c r="E111" s="24"/>
      <c r="F111" s="20"/>
    </row>
    <row r="112" spans="1:6" hidden="1" x14ac:dyDescent="0.25">
      <c r="A112" s="118">
        <v>8.1</v>
      </c>
      <c r="B112" s="61" t="s">
        <v>132</v>
      </c>
      <c r="C112" s="69">
        <v>27</v>
      </c>
      <c r="D112" s="57" t="s">
        <v>24</v>
      </c>
      <c r="E112" s="24">
        <v>3250</v>
      </c>
      <c r="F112" s="20">
        <f t="shared" si="1"/>
        <v>87750</v>
      </c>
    </row>
    <row r="113" spans="1:6" hidden="1" x14ac:dyDescent="0.25">
      <c r="A113" s="118">
        <v>8.1999999999999993</v>
      </c>
      <c r="B113" s="88" t="s">
        <v>133</v>
      </c>
      <c r="C113" s="69">
        <v>22</v>
      </c>
      <c r="D113" s="57" t="s">
        <v>24</v>
      </c>
      <c r="E113" s="24">
        <v>2100</v>
      </c>
      <c r="F113" s="20">
        <f t="shared" si="1"/>
        <v>46200</v>
      </c>
    </row>
    <row r="114" spans="1:6" hidden="1" x14ac:dyDescent="0.25">
      <c r="A114" s="118">
        <v>8.3000000000000007</v>
      </c>
      <c r="B114" s="88" t="s">
        <v>134</v>
      </c>
      <c r="C114" s="69">
        <v>7</v>
      </c>
      <c r="D114" s="57" t="s">
        <v>24</v>
      </c>
      <c r="E114" s="24">
        <v>1800</v>
      </c>
      <c r="F114" s="20">
        <f t="shared" si="1"/>
        <v>12600</v>
      </c>
    </row>
    <row r="115" spans="1:6" hidden="1" x14ac:dyDescent="0.25">
      <c r="A115" s="118">
        <v>8.4</v>
      </c>
      <c r="B115" s="61" t="s">
        <v>135</v>
      </c>
      <c r="C115" s="69">
        <v>16</v>
      </c>
      <c r="D115" s="57" t="s">
        <v>24</v>
      </c>
      <c r="E115" s="24">
        <v>1500</v>
      </c>
      <c r="F115" s="20">
        <f t="shared" si="1"/>
        <v>24000</v>
      </c>
    </row>
    <row r="116" spans="1:6" hidden="1" x14ac:dyDescent="0.25">
      <c r="A116" s="118"/>
      <c r="B116" s="61"/>
      <c r="C116" s="69"/>
      <c r="D116" s="57"/>
      <c r="E116" s="24"/>
      <c r="F116" s="20"/>
    </row>
    <row r="117" spans="1:6" hidden="1" x14ac:dyDescent="0.25">
      <c r="A117" s="119">
        <v>9</v>
      </c>
      <c r="B117" s="120" t="s">
        <v>136</v>
      </c>
      <c r="C117" s="66"/>
      <c r="D117" s="57"/>
      <c r="E117" s="28"/>
      <c r="F117" s="20"/>
    </row>
    <row r="118" spans="1:6" hidden="1" x14ac:dyDescent="0.25">
      <c r="A118" s="92">
        <v>9.1</v>
      </c>
      <c r="B118" s="121" t="s">
        <v>137</v>
      </c>
      <c r="C118" s="66">
        <v>2</v>
      </c>
      <c r="D118" s="57" t="s">
        <v>24</v>
      </c>
      <c r="E118" s="28">
        <v>150000</v>
      </c>
      <c r="F118" s="20">
        <f t="shared" si="1"/>
        <v>300000</v>
      </c>
    </row>
    <row r="119" spans="1:6" hidden="1" x14ac:dyDescent="0.25">
      <c r="A119" s="92">
        <v>9.1999999999999993</v>
      </c>
      <c r="B119" s="121" t="s">
        <v>138</v>
      </c>
      <c r="C119" s="66">
        <v>1</v>
      </c>
      <c r="D119" s="57" t="s">
        <v>24</v>
      </c>
      <c r="E119" s="28">
        <v>185000</v>
      </c>
      <c r="F119" s="20">
        <f t="shared" si="1"/>
        <v>185000</v>
      </c>
    </row>
    <row r="120" spans="1:6" hidden="1" x14ac:dyDescent="0.25">
      <c r="A120" s="113"/>
      <c r="B120" s="114"/>
      <c r="C120" s="115"/>
      <c r="D120" s="57"/>
      <c r="E120" s="27"/>
      <c r="F120" s="20"/>
    </row>
    <row r="121" spans="1:6" hidden="1" x14ac:dyDescent="0.25">
      <c r="A121" s="116">
        <v>10</v>
      </c>
      <c r="B121" s="63" t="s">
        <v>139</v>
      </c>
      <c r="C121" s="66"/>
      <c r="D121" s="57"/>
      <c r="E121" s="24"/>
      <c r="F121" s="20"/>
    </row>
    <row r="122" spans="1:6" ht="39.6" hidden="1" x14ac:dyDescent="0.25">
      <c r="A122" s="118">
        <v>10.1</v>
      </c>
      <c r="B122" s="122" t="s">
        <v>140</v>
      </c>
      <c r="C122" s="123">
        <v>2</v>
      </c>
      <c r="D122" s="57" t="s">
        <v>24</v>
      </c>
      <c r="E122" s="24">
        <v>44250</v>
      </c>
      <c r="F122" s="20">
        <f t="shared" si="1"/>
        <v>88500</v>
      </c>
    </row>
    <row r="123" spans="1:6" ht="39.6" hidden="1" x14ac:dyDescent="0.25">
      <c r="A123" s="118">
        <v>10.199999999999999</v>
      </c>
      <c r="B123" s="122" t="s">
        <v>141</v>
      </c>
      <c r="C123" s="123">
        <v>1</v>
      </c>
      <c r="D123" s="57" t="s">
        <v>24</v>
      </c>
      <c r="E123" s="24">
        <v>41300</v>
      </c>
      <c r="F123" s="20">
        <f t="shared" si="1"/>
        <v>41300</v>
      </c>
    </row>
    <row r="124" spans="1:6" ht="39.6" hidden="1" x14ac:dyDescent="0.25">
      <c r="A124" s="118">
        <v>10.3</v>
      </c>
      <c r="B124" s="122" t="s">
        <v>142</v>
      </c>
      <c r="C124" s="123">
        <v>13</v>
      </c>
      <c r="D124" s="57" t="s">
        <v>24</v>
      </c>
      <c r="E124" s="24">
        <v>38645</v>
      </c>
      <c r="F124" s="20">
        <f t="shared" si="1"/>
        <v>502385</v>
      </c>
    </row>
    <row r="125" spans="1:6" ht="39.6" hidden="1" x14ac:dyDescent="0.25">
      <c r="A125" s="118">
        <v>10.4</v>
      </c>
      <c r="B125" s="122" t="s">
        <v>143</v>
      </c>
      <c r="C125" s="123">
        <v>13</v>
      </c>
      <c r="D125" s="57" t="s">
        <v>24</v>
      </c>
      <c r="E125" s="24">
        <v>35400</v>
      </c>
      <c r="F125" s="20">
        <f t="shared" si="1"/>
        <v>460200</v>
      </c>
    </row>
    <row r="126" spans="1:6" hidden="1" x14ac:dyDescent="0.25">
      <c r="A126" s="118">
        <v>10.5</v>
      </c>
      <c r="B126" s="122" t="s">
        <v>144</v>
      </c>
      <c r="C126" s="69">
        <v>18</v>
      </c>
      <c r="D126" s="57" t="s">
        <v>24</v>
      </c>
      <c r="E126" s="24">
        <v>5500</v>
      </c>
      <c r="F126" s="20">
        <f t="shared" si="1"/>
        <v>99000</v>
      </c>
    </row>
    <row r="127" spans="1:6" hidden="1" x14ac:dyDescent="0.25">
      <c r="A127" s="118">
        <v>10.6</v>
      </c>
      <c r="B127" s="122" t="s">
        <v>145</v>
      </c>
      <c r="C127" s="69">
        <v>2</v>
      </c>
      <c r="D127" s="57" t="s">
        <v>24</v>
      </c>
      <c r="E127" s="24">
        <v>8000</v>
      </c>
      <c r="F127" s="20">
        <f t="shared" si="1"/>
        <v>16000</v>
      </c>
    </row>
    <row r="128" spans="1:6" hidden="1" x14ac:dyDescent="0.25">
      <c r="A128" s="124"/>
      <c r="B128" s="125"/>
      <c r="C128" s="126"/>
      <c r="D128" s="127"/>
      <c r="E128" s="29"/>
      <c r="F128" s="20"/>
    </row>
    <row r="129" spans="1:6" hidden="1" x14ac:dyDescent="0.25">
      <c r="A129" s="116">
        <v>11</v>
      </c>
      <c r="B129" s="117" t="s">
        <v>146</v>
      </c>
      <c r="C129" s="123"/>
      <c r="D129" s="128"/>
      <c r="E129" s="30"/>
      <c r="F129" s="20"/>
    </row>
    <row r="130" spans="1:6" ht="26.4" hidden="1" x14ac:dyDescent="0.25">
      <c r="A130" s="129">
        <v>11.1</v>
      </c>
      <c r="B130" s="130" t="s">
        <v>147</v>
      </c>
      <c r="C130" s="131">
        <v>408</v>
      </c>
      <c r="D130" s="132" t="s">
        <v>24</v>
      </c>
      <c r="E130" s="31">
        <v>1750</v>
      </c>
      <c r="F130" s="20">
        <f t="shared" si="1"/>
        <v>714000</v>
      </c>
    </row>
    <row r="131" spans="1:6" hidden="1" x14ac:dyDescent="0.25">
      <c r="A131" s="133"/>
      <c r="B131" s="61"/>
      <c r="C131" s="66"/>
      <c r="D131" s="134"/>
      <c r="E131" s="24"/>
      <c r="F131" s="20"/>
    </row>
    <row r="132" spans="1:6" hidden="1" x14ac:dyDescent="0.25">
      <c r="A132" s="50">
        <v>12</v>
      </c>
      <c r="B132" s="135" t="s">
        <v>148</v>
      </c>
      <c r="C132" s="66"/>
      <c r="D132" s="134"/>
      <c r="E132" s="24"/>
      <c r="F132" s="20"/>
    </row>
    <row r="133" spans="1:6" ht="26.4" hidden="1" x14ac:dyDescent="0.25">
      <c r="A133" s="136">
        <v>12.1</v>
      </c>
      <c r="B133" s="72" t="s">
        <v>33</v>
      </c>
      <c r="C133" s="97">
        <v>13824</v>
      </c>
      <c r="D133" s="137" t="s">
        <v>40</v>
      </c>
      <c r="E133" s="32">
        <v>100</v>
      </c>
      <c r="F133" s="20">
        <f t="shared" si="1"/>
        <v>1382400</v>
      </c>
    </row>
    <row r="134" spans="1:6" ht="39.6" hidden="1" x14ac:dyDescent="0.25">
      <c r="A134" s="136">
        <v>12.2</v>
      </c>
      <c r="B134" s="72" t="s">
        <v>149</v>
      </c>
      <c r="C134" s="97">
        <v>13824</v>
      </c>
      <c r="D134" s="137" t="s">
        <v>40</v>
      </c>
      <c r="E134" s="32">
        <v>100</v>
      </c>
      <c r="F134" s="20">
        <f t="shared" si="1"/>
        <v>1382400</v>
      </c>
    </row>
    <row r="135" spans="1:6" hidden="1" x14ac:dyDescent="0.25">
      <c r="A135" s="138"/>
      <c r="B135" s="61"/>
      <c r="C135" s="134"/>
      <c r="D135" s="139"/>
      <c r="E135" s="24"/>
      <c r="F135" s="20"/>
    </row>
    <row r="136" spans="1:6" hidden="1" x14ac:dyDescent="0.25">
      <c r="A136" s="50">
        <v>13</v>
      </c>
      <c r="B136" s="140" t="s">
        <v>150</v>
      </c>
      <c r="C136" s="141"/>
      <c r="D136" s="85"/>
      <c r="E136" s="24"/>
      <c r="F136" s="20"/>
    </row>
    <row r="137" spans="1:6" ht="15.6" hidden="1" x14ac:dyDescent="0.25">
      <c r="A137" s="118">
        <v>13.1</v>
      </c>
      <c r="B137" s="72" t="s">
        <v>151</v>
      </c>
      <c r="C137" s="142">
        <v>10368</v>
      </c>
      <c r="D137" s="143" t="s">
        <v>152</v>
      </c>
      <c r="E137" s="24">
        <f>+'Analisis presupuesto base'!G337</f>
        <v>101.93235897435898</v>
      </c>
      <c r="F137" s="20">
        <v>1056834.7</v>
      </c>
    </row>
    <row r="138" spans="1:6" ht="15.6" hidden="1" x14ac:dyDescent="0.25">
      <c r="A138" s="118">
        <v>13.2</v>
      </c>
      <c r="B138" s="72" t="s">
        <v>153</v>
      </c>
      <c r="C138" s="144">
        <v>10368</v>
      </c>
      <c r="D138" s="145" t="s">
        <v>152</v>
      </c>
      <c r="E138" s="32">
        <f>+'Analisis presupuesto base'!H356</f>
        <v>522.58064516129036</v>
      </c>
      <c r="F138" s="20">
        <v>5418116.125</v>
      </c>
    </row>
    <row r="139" spans="1:6" ht="13.8" hidden="1" x14ac:dyDescent="0.25">
      <c r="A139" s="118">
        <v>13.3</v>
      </c>
      <c r="B139" s="72" t="s">
        <v>154</v>
      </c>
      <c r="C139" s="62">
        <v>25920</v>
      </c>
      <c r="D139" s="146" t="s">
        <v>155</v>
      </c>
      <c r="E139" s="24">
        <f>+'Analisis presupuesto base'!H364</f>
        <v>50</v>
      </c>
      <c r="F139" s="20">
        <f t="shared" si="1"/>
        <v>1296000</v>
      </c>
    </row>
    <row r="140" spans="1:6" hidden="1" x14ac:dyDescent="0.25">
      <c r="A140" s="118"/>
      <c r="B140" s="103"/>
      <c r="C140" s="62"/>
      <c r="D140" s="146"/>
      <c r="E140" s="24"/>
      <c r="F140" s="20"/>
    </row>
    <row r="141" spans="1:6" hidden="1" x14ac:dyDescent="0.25">
      <c r="A141" s="118">
        <v>14</v>
      </c>
      <c r="B141" s="72" t="s">
        <v>156</v>
      </c>
      <c r="C141" s="66">
        <v>13824</v>
      </c>
      <c r="D141" s="134" t="s">
        <v>40</v>
      </c>
      <c r="E141" s="24">
        <v>30.39105</v>
      </c>
      <c r="F141" s="20">
        <v>420125.875</v>
      </c>
    </row>
    <row r="142" spans="1:6" hidden="1" x14ac:dyDescent="0.25">
      <c r="A142" s="147"/>
      <c r="B142" s="148" t="s">
        <v>157</v>
      </c>
      <c r="C142" s="149"/>
      <c r="D142" s="150"/>
      <c r="E142" s="34"/>
      <c r="F142" s="34">
        <f>SUM(F41:F141)</f>
        <v>61479832.113999993</v>
      </c>
    </row>
    <row r="143" spans="1:6" hidden="1" x14ac:dyDescent="0.25">
      <c r="A143" s="151"/>
      <c r="B143" s="58"/>
      <c r="C143" s="59"/>
      <c r="D143" s="60"/>
      <c r="E143" s="33"/>
      <c r="F143" s="20"/>
    </row>
    <row r="144" spans="1:6" hidden="1" x14ac:dyDescent="0.25">
      <c r="A144" s="152" t="s">
        <v>158</v>
      </c>
      <c r="B144" s="153" t="s">
        <v>159</v>
      </c>
      <c r="C144" s="154"/>
      <c r="D144" s="155"/>
      <c r="E144" s="35"/>
      <c r="F144" s="20"/>
    </row>
    <row r="145" spans="1:6" hidden="1" x14ac:dyDescent="0.25">
      <c r="A145" s="156"/>
      <c r="B145" s="157"/>
      <c r="C145" s="158"/>
      <c r="D145" s="159"/>
      <c r="E145" s="1"/>
      <c r="F145" s="20"/>
    </row>
    <row r="146" spans="1:6" hidden="1" x14ac:dyDescent="0.25">
      <c r="A146" s="156">
        <v>1</v>
      </c>
      <c r="B146" s="157" t="s">
        <v>160</v>
      </c>
      <c r="C146" s="158"/>
      <c r="D146" s="159"/>
      <c r="E146" s="1"/>
      <c r="F146" s="20"/>
    </row>
    <row r="147" spans="1:6" hidden="1" x14ac:dyDescent="0.25">
      <c r="A147" s="160">
        <v>1.1000000000000001</v>
      </c>
      <c r="B147" s="157" t="s">
        <v>161</v>
      </c>
      <c r="C147" s="158"/>
      <c r="D147" s="159"/>
      <c r="E147" s="1"/>
      <c r="F147" s="20"/>
    </row>
    <row r="148" spans="1:6" hidden="1" x14ac:dyDescent="0.25">
      <c r="A148" s="161" t="s">
        <v>162</v>
      </c>
      <c r="B148" s="61" t="s">
        <v>163</v>
      </c>
      <c r="C148" s="62">
        <v>29.3</v>
      </c>
      <c r="D148" s="57" t="s">
        <v>164</v>
      </c>
      <c r="E148" s="1">
        <v>1250</v>
      </c>
      <c r="F148" s="20">
        <f t="shared" ref="F148:F158" si="2">+E148*C148</f>
        <v>36625</v>
      </c>
    </row>
    <row r="149" spans="1:6" ht="26.4" hidden="1" x14ac:dyDescent="0.25">
      <c r="A149" s="161" t="s">
        <v>165</v>
      </c>
      <c r="B149" s="72" t="s">
        <v>166</v>
      </c>
      <c r="C149" s="62">
        <v>38.090000000000003</v>
      </c>
      <c r="D149" s="57" t="s">
        <v>164</v>
      </c>
      <c r="E149" s="1">
        <v>1250</v>
      </c>
      <c r="F149" s="20">
        <f t="shared" si="2"/>
        <v>47612.500000000007</v>
      </c>
    </row>
    <row r="150" spans="1:6" hidden="1" x14ac:dyDescent="0.25">
      <c r="A150" s="156"/>
      <c r="B150" s="157"/>
      <c r="C150" s="158"/>
      <c r="D150" s="159"/>
      <c r="E150" s="1"/>
      <c r="F150" s="20"/>
    </row>
    <row r="151" spans="1:6" hidden="1" x14ac:dyDescent="0.25">
      <c r="A151" s="160">
        <v>1.2</v>
      </c>
      <c r="B151" s="63" t="s">
        <v>167</v>
      </c>
      <c r="C151" s="62"/>
      <c r="D151" s="57"/>
      <c r="E151" s="1"/>
      <c r="F151" s="20"/>
    </row>
    <row r="152" spans="1:6" hidden="1" x14ac:dyDescent="0.25">
      <c r="A152" s="161" t="s">
        <v>168</v>
      </c>
      <c r="B152" s="61" t="s">
        <v>169</v>
      </c>
      <c r="C152" s="62">
        <v>244.2</v>
      </c>
      <c r="D152" s="57" t="s">
        <v>40</v>
      </c>
      <c r="E152" s="1">
        <f>+'Analisis presupuesto base'!H380</f>
        <v>1602.2415654520917</v>
      </c>
      <c r="F152" s="20">
        <f t="shared" si="2"/>
        <v>391267.39028340077</v>
      </c>
    </row>
    <row r="153" spans="1:6" hidden="1" x14ac:dyDescent="0.25">
      <c r="A153" s="161" t="s">
        <v>170</v>
      </c>
      <c r="B153" s="162" t="s">
        <v>171</v>
      </c>
      <c r="C153" s="62">
        <v>195.36</v>
      </c>
      <c r="D153" s="57" t="s">
        <v>172</v>
      </c>
      <c r="E153" s="1">
        <f>+'Analisis presupuesto base'!H368</f>
        <v>847.37599999999998</v>
      </c>
      <c r="F153" s="20">
        <f t="shared" si="2"/>
        <v>165543.37536000001</v>
      </c>
    </row>
    <row r="154" spans="1:6" hidden="1" x14ac:dyDescent="0.25">
      <c r="A154" s="147"/>
      <c r="B154" s="148" t="s">
        <v>173</v>
      </c>
      <c r="C154" s="149"/>
      <c r="D154" s="150"/>
      <c r="E154" s="34"/>
      <c r="F154" s="34">
        <f>SUM(F144:F153)</f>
        <v>641048.26564340084</v>
      </c>
    </row>
    <row r="155" spans="1:6" hidden="1" x14ac:dyDescent="0.25">
      <c r="A155" s="76"/>
      <c r="B155" s="163"/>
      <c r="C155" s="100"/>
      <c r="D155" s="81"/>
      <c r="E155" s="27"/>
      <c r="F155" s="20"/>
    </row>
    <row r="156" spans="1:6" hidden="1" x14ac:dyDescent="0.25">
      <c r="A156" s="151" t="s">
        <v>174</v>
      </c>
      <c r="B156" s="58" t="s">
        <v>175</v>
      </c>
      <c r="C156" s="141"/>
      <c r="D156" s="81"/>
      <c r="E156" s="1"/>
      <c r="F156" s="20"/>
    </row>
    <row r="157" spans="1:6" ht="52.8" hidden="1" x14ac:dyDescent="0.25">
      <c r="A157" s="118">
        <v>1</v>
      </c>
      <c r="B157" s="93" t="s">
        <v>176</v>
      </c>
      <c r="C157" s="100">
        <v>1</v>
      </c>
      <c r="D157" s="81" t="s">
        <v>24</v>
      </c>
      <c r="E157" s="1">
        <v>57000</v>
      </c>
      <c r="F157" s="20">
        <f t="shared" si="2"/>
        <v>57000</v>
      </c>
    </row>
    <row r="158" spans="1:6" ht="26.4" hidden="1" x14ac:dyDescent="0.25">
      <c r="A158" s="118">
        <v>2</v>
      </c>
      <c r="B158" s="164" t="s">
        <v>177</v>
      </c>
      <c r="C158" s="100">
        <v>10</v>
      </c>
      <c r="D158" s="81" t="s">
        <v>178</v>
      </c>
      <c r="E158" s="1">
        <v>22500</v>
      </c>
      <c r="F158" s="20">
        <f t="shared" si="2"/>
        <v>225000</v>
      </c>
    </row>
    <row r="159" spans="1:6" hidden="1" x14ac:dyDescent="0.25">
      <c r="A159" s="165"/>
      <c r="B159" s="166" t="s">
        <v>179</v>
      </c>
      <c r="C159" s="167"/>
      <c r="D159" s="150"/>
      <c r="E159" s="38"/>
      <c r="F159" s="39">
        <f>SUM(F156:F158)</f>
        <v>282000</v>
      </c>
    </row>
    <row r="160" spans="1:6" ht="13.8" hidden="1" thickBot="1" x14ac:dyDescent="0.3">
      <c r="A160" s="76"/>
      <c r="B160" s="163"/>
      <c r="C160" s="100"/>
      <c r="D160" s="81"/>
      <c r="E160" s="27"/>
      <c r="F160" s="40"/>
    </row>
    <row r="161" spans="1:6" hidden="1" x14ac:dyDescent="0.25">
      <c r="A161" s="280"/>
      <c r="B161" s="281" t="s">
        <v>180</v>
      </c>
      <c r="C161" s="282"/>
      <c r="D161" s="283"/>
      <c r="E161" s="284"/>
      <c r="F161" s="285">
        <f>+F159+F154+F142+F39</f>
        <v>62657908.72697673</v>
      </c>
    </row>
    <row r="162" spans="1:6" ht="13.8" hidden="1" thickBot="1" x14ac:dyDescent="0.3">
      <c r="A162" s="274"/>
      <c r="B162" s="275" t="s">
        <v>180</v>
      </c>
      <c r="C162" s="276"/>
      <c r="D162" s="277"/>
      <c r="E162" s="278"/>
      <c r="F162" s="279">
        <f>+F161</f>
        <v>62657908.72697673</v>
      </c>
    </row>
    <row r="163" spans="1:6" hidden="1" x14ac:dyDescent="0.25"/>
    <row r="164" spans="1:6" ht="15.6" x14ac:dyDescent="0.25">
      <c r="A164" s="508" t="s">
        <v>424</v>
      </c>
      <c r="B164" s="508"/>
      <c r="C164" s="508"/>
      <c r="D164" s="508"/>
      <c r="E164" s="508"/>
      <c r="F164" s="508"/>
    </row>
    <row r="166" spans="1:6" x14ac:dyDescent="0.25">
      <c r="A166" s="506" t="s">
        <v>1</v>
      </c>
      <c r="B166" s="507"/>
      <c r="C166" s="507"/>
      <c r="D166" s="507"/>
      <c r="E166" s="507"/>
      <c r="F166" s="507"/>
    </row>
    <row r="167" spans="1:6" x14ac:dyDescent="0.25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5">
      <c r="A168" s="6"/>
      <c r="B168" s="7"/>
      <c r="C168" s="7"/>
      <c r="D168" s="8"/>
      <c r="E168" s="9"/>
      <c r="F168" s="10"/>
    </row>
    <row r="169" spans="1:6" x14ac:dyDescent="0.25">
      <c r="A169" s="43" t="s">
        <v>4</v>
      </c>
      <c r="B169" s="43" t="s">
        <v>5</v>
      </c>
      <c r="C169" s="44" t="s">
        <v>6</v>
      </c>
      <c r="D169" s="43" t="s">
        <v>7</v>
      </c>
      <c r="E169" s="12" t="s">
        <v>8</v>
      </c>
      <c r="F169" s="11" t="s">
        <v>9</v>
      </c>
    </row>
    <row r="170" spans="1:6" x14ac:dyDescent="0.25">
      <c r="A170" s="45"/>
      <c r="B170" s="45"/>
      <c r="C170" s="46"/>
      <c r="D170" s="45"/>
      <c r="E170" s="14"/>
      <c r="F170" s="13"/>
    </row>
    <row r="171" spans="1:6" x14ac:dyDescent="0.25">
      <c r="A171" s="45"/>
      <c r="B171" s="47"/>
      <c r="C171" s="48"/>
      <c r="D171" s="49"/>
      <c r="E171" s="15"/>
      <c r="F171" s="16"/>
    </row>
    <row r="172" spans="1:6" ht="26.4" x14ac:dyDescent="0.25">
      <c r="A172" s="50" t="s">
        <v>10</v>
      </c>
      <c r="B172" s="51" t="s">
        <v>11</v>
      </c>
      <c r="C172" s="52"/>
      <c r="D172" s="53"/>
      <c r="E172" s="17"/>
      <c r="F172" s="18"/>
    </row>
    <row r="173" spans="1:6" x14ac:dyDescent="0.25">
      <c r="A173" s="50"/>
      <c r="B173" s="51"/>
      <c r="C173" s="52"/>
      <c r="D173" s="53"/>
      <c r="E173" s="17"/>
      <c r="F173" s="18"/>
    </row>
    <row r="174" spans="1:6" x14ac:dyDescent="0.25">
      <c r="A174" s="50">
        <v>1</v>
      </c>
      <c r="B174" s="51" t="s">
        <v>12</v>
      </c>
      <c r="C174" s="52"/>
      <c r="D174" s="53"/>
      <c r="E174" s="17"/>
      <c r="F174" s="18"/>
    </row>
    <row r="175" spans="1:6" x14ac:dyDescent="0.25">
      <c r="A175" s="54">
        <v>1.1000000000000001</v>
      </c>
      <c r="B175" s="55" t="s">
        <v>13</v>
      </c>
      <c r="C175" s="56">
        <v>1</v>
      </c>
      <c r="D175" s="57" t="s">
        <v>14</v>
      </c>
      <c r="E175" s="19">
        <f>+'Presupuesto Actual compl'!E15-E13</f>
        <v>0</v>
      </c>
      <c r="F175" s="20">
        <v>0</v>
      </c>
    </row>
    <row r="176" spans="1:6" x14ac:dyDescent="0.25">
      <c r="A176" s="54">
        <v>1.2</v>
      </c>
      <c r="B176" s="55" t="s">
        <v>15</v>
      </c>
      <c r="C176" s="56">
        <v>4</v>
      </c>
      <c r="D176" s="57" t="s">
        <v>16</v>
      </c>
      <c r="E176" s="19">
        <f>+'Presupuesto Actual compl'!E16-E14</f>
        <v>0</v>
      </c>
      <c r="F176" s="20">
        <v>0</v>
      </c>
    </row>
    <row r="177" spans="1:6" x14ac:dyDescent="0.25">
      <c r="A177" s="54">
        <v>1.3</v>
      </c>
      <c r="B177" s="55" t="s">
        <v>17</v>
      </c>
      <c r="C177" s="56">
        <v>1</v>
      </c>
      <c r="D177" s="57" t="s">
        <v>14</v>
      </c>
      <c r="E177" s="19">
        <f>+'Presupuesto Actual compl'!E17-E15</f>
        <v>0</v>
      </c>
      <c r="F177" s="20">
        <v>0</v>
      </c>
    </row>
    <row r="178" spans="1:6" x14ac:dyDescent="0.25">
      <c r="A178" s="50"/>
      <c r="B178" s="51"/>
      <c r="C178" s="52"/>
      <c r="D178" s="53"/>
      <c r="E178" s="17"/>
      <c r="F178" s="20"/>
    </row>
    <row r="179" spans="1:6" x14ac:dyDescent="0.25">
      <c r="A179" s="50">
        <v>2</v>
      </c>
      <c r="B179" s="58" t="s">
        <v>18</v>
      </c>
      <c r="C179" s="59"/>
      <c r="D179" s="60"/>
      <c r="E179" s="21"/>
      <c r="F179" s="20"/>
    </row>
    <row r="180" spans="1:6" x14ac:dyDescent="0.25">
      <c r="A180" s="54">
        <v>2.1</v>
      </c>
      <c r="B180" s="61" t="s">
        <v>19</v>
      </c>
      <c r="C180" s="62">
        <v>4</v>
      </c>
      <c r="D180" s="57" t="s">
        <v>16</v>
      </c>
      <c r="E180" s="19">
        <f>+'Presupuesto Actual compl'!E20-E18</f>
        <v>21.108749999999986</v>
      </c>
      <c r="F180" s="20">
        <f>+C180*E180</f>
        <v>84.434999999999945</v>
      </c>
    </row>
    <row r="181" spans="1:6" x14ac:dyDescent="0.25">
      <c r="A181" s="50"/>
      <c r="B181" s="61"/>
      <c r="C181" s="62"/>
      <c r="D181" s="57"/>
      <c r="E181" s="1"/>
      <c r="F181" s="20"/>
    </row>
    <row r="182" spans="1:6" x14ac:dyDescent="0.25">
      <c r="A182" s="50">
        <v>3</v>
      </c>
      <c r="B182" s="63" t="s">
        <v>20</v>
      </c>
      <c r="C182" s="62"/>
      <c r="D182" s="57"/>
      <c r="E182" s="1"/>
      <c r="F182" s="20"/>
    </row>
    <row r="183" spans="1:6" x14ac:dyDescent="0.25">
      <c r="A183" s="54">
        <v>3.1</v>
      </c>
      <c r="B183" s="61" t="s">
        <v>21</v>
      </c>
      <c r="C183" s="62">
        <v>4</v>
      </c>
      <c r="D183" s="57" t="s">
        <v>16</v>
      </c>
      <c r="E183" s="19">
        <f>+'Presupuesto Actual compl'!E23-E21</f>
        <v>0</v>
      </c>
      <c r="F183" s="20">
        <f>+E183*C183</f>
        <v>0</v>
      </c>
    </row>
    <row r="184" spans="1:6" x14ac:dyDescent="0.25">
      <c r="A184" s="54">
        <v>3.2</v>
      </c>
      <c r="B184" s="61" t="s">
        <v>22</v>
      </c>
      <c r="C184" s="62">
        <v>4</v>
      </c>
      <c r="D184" s="57" t="s">
        <v>16</v>
      </c>
      <c r="E184" s="19">
        <f>+'Presupuesto Actual compl'!E24-E22</f>
        <v>0</v>
      </c>
      <c r="F184" s="20">
        <f>+E184*C184</f>
        <v>0</v>
      </c>
    </row>
    <row r="185" spans="1:6" x14ac:dyDescent="0.25">
      <c r="A185" s="50"/>
      <c r="B185" s="61"/>
      <c r="C185" s="62"/>
      <c r="D185" s="57"/>
      <c r="E185" s="1"/>
      <c r="F185" s="20"/>
    </row>
    <row r="186" spans="1:6" ht="26.4" x14ac:dyDescent="0.25">
      <c r="A186" s="64">
        <v>4</v>
      </c>
      <c r="B186" s="65" t="s">
        <v>23</v>
      </c>
      <c r="C186" s="66">
        <v>1</v>
      </c>
      <c r="D186" s="57" t="s">
        <v>24</v>
      </c>
      <c r="E186" s="19"/>
      <c r="F186" s="20"/>
    </row>
    <row r="187" spans="1:6" x14ac:dyDescent="0.25">
      <c r="A187" s="67">
        <v>4.0999999999999996</v>
      </c>
      <c r="B187" s="61" t="s">
        <v>25</v>
      </c>
      <c r="C187" s="68">
        <v>1</v>
      </c>
      <c r="D187" s="57" t="s">
        <v>24</v>
      </c>
      <c r="E187" s="19">
        <f>+'Presupuesto Actual compl'!E27-E25</f>
        <v>0</v>
      </c>
      <c r="F187" s="20">
        <v>0</v>
      </c>
    </row>
    <row r="188" spans="1:6" x14ac:dyDescent="0.25">
      <c r="A188" s="67">
        <v>4.2</v>
      </c>
      <c r="B188" s="61" t="s">
        <v>26</v>
      </c>
      <c r="C188" s="69">
        <v>1</v>
      </c>
      <c r="D188" s="57" t="s">
        <v>24</v>
      </c>
      <c r="E188" s="19">
        <f>+'Presupuesto Actual compl'!E28-E26</f>
        <v>0</v>
      </c>
      <c r="F188" s="20">
        <v>0</v>
      </c>
    </row>
    <row r="189" spans="1:6" x14ac:dyDescent="0.25">
      <c r="A189" s="67">
        <v>4.3</v>
      </c>
      <c r="B189" s="61" t="s">
        <v>27</v>
      </c>
      <c r="C189" s="69">
        <v>1</v>
      </c>
      <c r="D189" s="57" t="s">
        <v>24</v>
      </c>
      <c r="E189" s="19">
        <f>+'Presupuesto Actual compl'!E29-E27</f>
        <v>0</v>
      </c>
      <c r="F189" s="20">
        <v>0</v>
      </c>
    </row>
    <row r="190" spans="1:6" x14ac:dyDescent="0.25">
      <c r="A190" s="67">
        <v>4.4000000000000004</v>
      </c>
      <c r="B190" s="70" t="s">
        <v>28</v>
      </c>
      <c r="C190" s="66">
        <v>1</v>
      </c>
      <c r="D190" s="57" t="s">
        <v>24</v>
      </c>
      <c r="E190" s="19">
        <f>+'Presupuesto Actual compl'!E30-E28</f>
        <v>-3.9999999999054126E-3</v>
      </c>
      <c r="F190" s="20">
        <v>0</v>
      </c>
    </row>
    <row r="191" spans="1:6" x14ac:dyDescent="0.25">
      <c r="A191" s="67">
        <v>4.5</v>
      </c>
      <c r="B191" s="61" t="s">
        <v>29</v>
      </c>
      <c r="C191" s="69">
        <v>2</v>
      </c>
      <c r="D191" s="57" t="s">
        <v>24</v>
      </c>
      <c r="E191" s="19">
        <f>+'Presupuesto Actual compl'!E31-E29</f>
        <v>0</v>
      </c>
      <c r="F191" s="20">
        <v>0</v>
      </c>
    </row>
    <row r="192" spans="1:6" x14ac:dyDescent="0.25">
      <c r="A192" s="67">
        <v>4.5999999999999996</v>
      </c>
      <c r="B192" s="61" t="s">
        <v>30</v>
      </c>
      <c r="C192" s="69">
        <v>3</v>
      </c>
      <c r="D192" s="57" t="s">
        <v>24</v>
      </c>
      <c r="E192" s="19">
        <f>+'Presupuesto Actual compl'!E32-E30</f>
        <v>0</v>
      </c>
      <c r="F192" s="20">
        <v>0</v>
      </c>
    </row>
    <row r="193" spans="1:6" x14ac:dyDescent="0.25">
      <c r="A193" s="67">
        <v>4.7</v>
      </c>
      <c r="B193" s="61" t="s">
        <v>31</v>
      </c>
      <c r="C193" s="69">
        <v>1</v>
      </c>
      <c r="D193" s="57" t="s">
        <v>24</v>
      </c>
      <c r="E193" s="19">
        <f>+'Presupuesto Actual compl'!E33-E31</f>
        <v>0</v>
      </c>
      <c r="F193" s="20">
        <v>0</v>
      </c>
    </row>
    <row r="194" spans="1:6" x14ac:dyDescent="0.25">
      <c r="A194" s="67">
        <v>4.8</v>
      </c>
      <c r="B194" s="61" t="s">
        <v>32</v>
      </c>
      <c r="C194" s="69">
        <v>3</v>
      </c>
      <c r="D194" s="57" t="s">
        <v>24</v>
      </c>
      <c r="E194" s="19">
        <f>+'Presupuesto Actual compl'!E34-E32</f>
        <v>0</v>
      </c>
      <c r="F194" s="20">
        <v>0</v>
      </c>
    </row>
    <row r="195" spans="1:6" x14ac:dyDescent="0.25">
      <c r="A195" s="67"/>
      <c r="B195" s="61"/>
      <c r="C195" s="69"/>
      <c r="D195" s="57"/>
      <c r="E195" s="19"/>
      <c r="F195" s="20"/>
    </row>
    <row r="196" spans="1:6" ht="26.4" x14ac:dyDescent="0.25">
      <c r="A196" s="71">
        <v>5</v>
      </c>
      <c r="B196" s="216" t="s">
        <v>33</v>
      </c>
      <c r="C196" s="69">
        <v>1</v>
      </c>
      <c r="D196" s="57" t="s">
        <v>24</v>
      </c>
      <c r="E196" s="19">
        <f>+'Presupuesto Actual compl'!E36-E34</f>
        <v>0</v>
      </c>
      <c r="F196" s="20">
        <v>0</v>
      </c>
    </row>
    <row r="197" spans="1:6" x14ac:dyDescent="0.25">
      <c r="A197" s="71"/>
      <c r="B197" s="61"/>
      <c r="C197" s="69"/>
      <c r="D197" s="57"/>
      <c r="E197" s="19"/>
      <c r="F197" s="20"/>
    </row>
    <row r="198" spans="1:6" x14ac:dyDescent="0.25">
      <c r="A198" s="71">
        <v>6</v>
      </c>
      <c r="B198" s="61" t="s">
        <v>34</v>
      </c>
      <c r="C198" s="69">
        <v>1</v>
      </c>
      <c r="D198" s="57" t="s">
        <v>14</v>
      </c>
      <c r="E198" s="19">
        <f>+'Presupuesto Actual compl'!E38-E36</f>
        <v>0</v>
      </c>
      <c r="F198" s="20">
        <v>0</v>
      </c>
    </row>
    <row r="199" spans="1:6" x14ac:dyDescent="0.25">
      <c r="A199" s="71"/>
      <c r="B199" s="61"/>
      <c r="C199" s="69"/>
      <c r="D199" s="57"/>
      <c r="E199" s="19"/>
      <c r="F199" s="20"/>
    </row>
    <row r="200" spans="1:6" x14ac:dyDescent="0.25">
      <c r="A200" s="71">
        <v>7</v>
      </c>
      <c r="B200" s="61" t="s">
        <v>35</v>
      </c>
      <c r="C200" s="69">
        <v>1</v>
      </c>
      <c r="D200" s="57" t="s">
        <v>24</v>
      </c>
      <c r="E200" s="19">
        <f>+'Presupuesto Actual compl'!E40-E38</f>
        <v>18000</v>
      </c>
      <c r="F200" s="20">
        <f t="shared" ref="F200" si="3">+E200*C200</f>
        <v>18000</v>
      </c>
    </row>
    <row r="201" spans="1:6" x14ac:dyDescent="0.25">
      <c r="A201" s="73"/>
      <c r="B201" s="73" t="s">
        <v>36</v>
      </c>
      <c r="C201" s="74"/>
      <c r="D201" s="75"/>
      <c r="E201" s="22"/>
      <c r="F201" s="22">
        <f>SUM(F175:F200)</f>
        <v>18084.435000000001</v>
      </c>
    </row>
    <row r="202" spans="1:6" x14ac:dyDescent="0.25">
      <c r="A202" s="76"/>
      <c r="B202" s="76"/>
      <c r="C202" s="66"/>
      <c r="D202" s="49"/>
      <c r="E202" s="19"/>
      <c r="F202" s="20"/>
    </row>
    <row r="203" spans="1:6" x14ac:dyDescent="0.25">
      <c r="A203" s="77" t="s">
        <v>37</v>
      </c>
      <c r="B203" s="78" t="s">
        <v>38</v>
      </c>
      <c r="C203" s="66"/>
      <c r="D203" s="49"/>
      <c r="E203" s="19"/>
      <c r="F203" s="20"/>
    </row>
    <row r="204" spans="1:6" x14ac:dyDescent="0.25">
      <c r="A204" s="76"/>
      <c r="B204" s="76"/>
      <c r="C204" s="66"/>
      <c r="D204" s="49"/>
      <c r="E204" s="19"/>
      <c r="F204" s="20"/>
    </row>
    <row r="205" spans="1:6" x14ac:dyDescent="0.25">
      <c r="A205" s="79">
        <v>1</v>
      </c>
      <c r="B205" s="80" t="s">
        <v>39</v>
      </c>
      <c r="C205" s="66">
        <v>21027</v>
      </c>
      <c r="D205" s="81" t="s">
        <v>40</v>
      </c>
      <c r="E205" s="19">
        <f>+'Presupuesto Actual compl'!E45-E43</f>
        <v>5.9359999999999999</v>
      </c>
      <c r="F205" s="20">
        <f t="shared" ref="F205" si="4">+C205*E205</f>
        <v>124816.272</v>
      </c>
    </row>
    <row r="206" spans="1:6" x14ac:dyDescent="0.25">
      <c r="A206" s="82"/>
      <c r="B206" s="76"/>
      <c r="C206" s="66"/>
      <c r="D206" s="81"/>
      <c r="E206" s="19"/>
      <c r="F206" s="20"/>
    </row>
    <row r="207" spans="1:6" x14ac:dyDescent="0.25">
      <c r="A207" s="83">
        <v>2</v>
      </c>
      <c r="B207" s="84" t="s">
        <v>41</v>
      </c>
      <c r="C207" s="66"/>
      <c r="D207" s="85"/>
      <c r="E207" s="19"/>
      <c r="F207" s="20"/>
    </row>
    <row r="208" spans="1:6" x14ac:dyDescent="0.25">
      <c r="A208" s="86">
        <v>2.1</v>
      </c>
      <c r="B208" s="87" t="s">
        <v>42</v>
      </c>
      <c r="C208" s="56">
        <v>27648</v>
      </c>
      <c r="D208" s="81" t="s">
        <v>40</v>
      </c>
      <c r="E208" s="19">
        <f>+'Presupuesto Actual compl'!E48-'Presupuesto Base 1'!E46</f>
        <v>0.3720000516699713</v>
      </c>
      <c r="F208" s="20">
        <v>10403.547428571386</v>
      </c>
    </row>
    <row r="209" spans="1:6" ht="13.8" x14ac:dyDescent="0.25">
      <c r="A209" s="54">
        <v>2.2000000000000002</v>
      </c>
      <c r="B209" s="87" t="s">
        <v>43</v>
      </c>
      <c r="C209" s="56">
        <v>10368</v>
      </c>
      <c r="D209" s="57" t="s">
        <v>44</v>
      </c>
      <c r="E209" s="19">
        <f>+'Presupuesto Actual compl'!E49-E47</f>
        <v>6.6949333333333385</v>
      </c>
      <c r="F209" s="20">
        <v>69413.068800000066</v>
      </c>
    </row>
    <row r="210" spans="1:6" ht="13.8" x14ac:dyDescent="0.25">
      <c r="A210" s="86">
        <v>2.2999999999999998</v>
      </c>
      <c r="B210" s="87" t="s">
        <v>45</v>
      </c>
      <c r="C210" s="56">
        <v>673.92</v>
      </c>
      <c r="D210" s="57" t="s">
        <v>46</v>
      </c>
      <c r="E210" s="19">
        <f>+'Presupuesto Actual compl'!E50-E48</f>
        <v>16.281988235294108</v>
      </c>
      <c r="F210" s="20">
        <v>10972.75529411764</v>
      </c>
    </row>
    <row r="211" spans="1:6" x14ac:dyDescent="0.25">
      <c r="A211" s="78"/>
      <c r="B211" s="88"/>
      <c r="C211" s="66"/>
      <c r="D211" s="85"/>
      <c r="E211" s="19"/>
      <c r="F211" s="20"/>
    </row>
    <row r="212" spans="1:6" x14ac:dyDescent="0.25">
      <c r="A212" s="89">
        <v>3</v>
      </c>
      <c r="B212" s="89" t="s">
        <v>47</v>
      </c>
      <c r="C212" s="90"/>
      <c r="D212" s="91"/>
      <c r="E212" s="23"/>
      <c r="F212" s="20"/>
    </row>
    <row r="213" spans="1:6" ht="15.6" x14ac:dyDescent="0.25">
      <c r="A213" s="78">
        <v>3.1</v>
      </c>
      <c r="B213" s="63" t="s">
        <v>48</v>
      </c>
      <c r="C213" s="66"/>
      <c r="D213" s="85"/>
      <c r="E213" s="19"/>
      <c r="F213" s="20"/>
    </row>
    <row r="214" spans="1:6" ht="13.8" x14ac:dyDescent="0.25">
      <c r="A214" s="92" t="s">
        <v>49</v>
      </c>
      <c r="B214" s="61" t="s">
        <v>50</v>
      </c>
      <c r="C214" s="66">
        <v>11203.06</v>
      </c>
      <c r="D214" s="57" t="s">
        <v>46</v>
      </c>
      <c r="E214" s="19">
        <f>+'Presupuesto Actual compl'!E54-E52</f>
        <v>91.936115000000029</v>
      </c>
      <c r="F214" s="20">
        <f>C214*E214</f>
        <v>1029965.8125119003</v>
      </c>
    </row>
    <row r="215" spans="1:6" ht="13.8" x14ac:dyDescent="0.25">
      <c r="A215" s="92" t="s">
        <v>51</v>
      </c>
      <c r="B215" s="61" t="s">
        <v>52</v>
      </c>
      <c r="C215" s="66">
        <v>4801.3100000000004</v>
      </c>
      <c r="D215" s="57" t="s">
        <v>46</v>
      </c>
      <c r="E215" s="19">
        <f>+'Presupuesto Actual compl'!E55-E53</f>
        <v>0</v>
      </c>
      <c r="F215" s="20">
        <f t="shared" ref="F215:F218" si="5">C215*E215</f>
        <v>0</v>
      </c>
    </row>
    <row r="216" spans="1:6" ht="13.8" x14ac:dyDescent="0.25">
      <c r="A216" s="92" t="s">
        <v>53</v>
      </c>
      <c r="B216" s="87" t="s">
        <v>54</v>
      </c>
      <c r="C216" s="66">
        <v>15770.25</v>
      </c>
      <c r="D216" s="57" t="s">
        <v>44</v>
      </c>
      <c r="E216" s="19">
        <f>+'Presupuesto Actual compl'!E56-E54</f>
        <v>0</v>
      </c>
      <c r="F216" s="20">
        <v>0</v>
      </c>
    </row>
    <row r="217" spans="1:6" ht="13.8" x14ac:dyDescent="0.25">
      <c r="A217" s="92" t="s">
        <v>55</v>
      </c>
      <c r="B217" s="93" t="s">
        <v>56</v>
      </c>
      <c r="C217" s="66">
        <v>1293.6199999999999</v>
      </c>
      <c r="D217" s="57" t="s">
        <v>46</v>
      </c>
      <c r="E217" s="19">
        <f>+'Presupuesto Actual compl'!E57-E55</f>
        <v>778.19999999999982</v>
      </c>
      <c r="F217" s="20">
        <f t="shared" si="5"/>
        <v>1006695.0839999997</v>
      </c>
    </row>
    <row r="218" spans="1:6" ht="13.8" x14ac:dyDescent="0.25">
      <c r="A218" s="92" t="s">
        <v>57</v>
      </c>
      <c r="B218" s="61" t="s">
        <v>58</v>
      </c>
      <c r="C218" s="94">
        <v>5761.57</v>
      </c>
      <c r="D218" s="57" t="s">
        <v>46</v>
      </c>
      <c r="E218" s="19">
        <f>+'Presupuesto Actual compl'!E58-E56</f>
        <v>142.74380359999998</v>
      </c>
      <c r="F218" s="20">
        <f t="shared" si="5"/>
        <v>822428.4165076518</v>
      </c>
    </row>
    <row r="219" spans="1:6" ht="26.4" x14ac:dyDescent="0.25">
      <c r="A219" s="92" t="s">
        <v>59</v>
      </c>
      <c r="B219" s="72" t="s">
        <v>60</v>
      </c>
      <c r="C219" s="95">
        <v>13808.54</v>
      </c>
      <c r="D219" s="96" t="s">
        <v>61</v>
      </c>
      <c r="E219" s="19">
        <f>+'Presupuesto Actual compl'!E59-E57</f>
        <v>0</v>
      </c>
      <c r="F219" s="20">
        <v>0</v>
      </c>
    </row>
    <row r="220" spans="1:6" ht="26.4" x14ac:dyDescent="0.25">
      <c r="A220" s="92" t="s">
        <v>62</v>
      </c>
      <c r="B220" s="72" t="s">
        <v>63</v>
      </c>
      <c r="C220" s="97">
        <v>8876.7000000000007</v>
      </c>
      <c r="D220" s="98" t="s">
        <v>46</v>
      </c>
      <c r="E220" s="19">
        <f>+'Presupuesto Actual compl'!E60-E58</f>
        <v>55.94380000000001</v>
      </c>
      <c r="F220" s="20">
        <f>+C220*E220</f>
        <v>496596.32946000015</v>
      </c>
    </row>
    <row r="221" spans="1:6" x14ac:dyDescent="0.25">
      <c r="A221" s="99"/>
      <c r="B221" s="76"/>
      <c r="C221" s="100"/>
      <c r="D221" s="81"/>
      <c r="E221" s="17"/>
      <c r="F221" s="20"/>
    </row>
    <row r="222" spans="1:6" x14ac:dyDescent="0.25">
      <c r="A222" s="99"/>
      <c r="B222" s="76"/>
      <c r="C222" s="100"/>
      <c r="D222" s="81"/>
      <c r="E222" s="17"/>
      <c r="F222" s="20"/>
    </row>
    <row r="223" spans="1:6" x14ac:dyDescent="0.25">
      <c r="A223" s="101">
        <v>4</v>
      </c>
      <c r="B223" s="80" t="s">
        <v>64</v>
      </c>
      <c r="C223" s="100"/>
      <c r="D223" s="81"/>
      <c r="E223" s="17"/>
      <c r="F223" s="20"/>
    </row>
    <row r="224" spans="1:6" x14ac:dyDescent="0.25">
      <c r="A224" s="102">
        <v>4.0999999999999996</v>
      </c>
      <c r="B224" s="103" t="s">
        <v>65</v>
      </c>
      <c r="C224" s="66">
        <v>1339</v>
      </c>
      <c r="D224" s="81" t="s">
        <v>40</v>
      </c>
      <c r="E224" s="19">
        <f>+'Presupuesto Actual compl'!E64-E62</f>
        <v>2576.0587699336929</v>
      </c>
      <c r="F224" s="20">
        <f>C224*E224</f>
        <v>3449342.6929412149</v>
      </c>
    </row>
    <row r="225" spans="1:6" x14ac:dyDescent="0.25">
      <c r="A225" s="102">
        <v>4.2</v>
      </c>
      <c r="B225" s="103" t="s">
        <v>66</v>
      </c>
      <c r="C225" s="66">
        <v>1287.5</v>
      </c>
      <c r="D225" s="81" t="s">
        <v>40</v>
      </c>
      <c r="E225" s="19">
        <f>+'Presupuesto Actual compl'!E65-E63</f>
        <v>436.61999999999625</v>
      </c>
      <c r="F225" s="20">
        <f t="shared" ref="F225:F227" si="6">C225*E225</f>
        <v>562148.24999999523</v>
      </c>
    </row>
    <row r="226" spans="1:6" x14ac:dyDescent="0.25">
      <c r="A226" s="102">
        <v>4.3</v>
      </c>
      <c r="B226" s="103" t="s">
        <v>67</v>
      </c>
      <c r="C226" s="66">
        <v>7456.2</v>
      </c>
      <c r="D226" s="81" t="s">
        <v>40</v>
      </c>
      <c r="E226" s="19">
        <f>+'Presupuesto Actual compl'!E66-E64</f>
        <v>0</v>
      </c>
      <c r="F226" s="20">
        <f t="shared" si="6"/>
        <v>0</v>
      </c>
    </row>
    <row r="227" spans="1:6" x14ac:dyDescent="0.25">
      <c r="A227" s="102">
        <v>4.4000000000000004</v>
      </c>
      <c r="B227" s="103" t="s">
        <v>68</v>
      </c>
      <c r="C227" s="66">
        <v>11390.34</v>
      </c>
      <c r="D227" s="81" t="s">
        <v>40</v>
      </c>
      <c r="E227" s="19">
        <f>+'Presupuesto Actual compl'!E67-E65</f>
        <v>0</v>
      </c>
      <c r="F227" s="20">
        <f t="shared" si="6"/>
        <v>0</v>
      </c>
    </row>
    <row r="228" spans="1:6" x14ac:dyDescent="0.25">
      <c r="A228" s="104"/>
      <c r="B228" s="76"/>
      <c r="C228" s="66"/>
      <c r="D228" s="81"/>
      <c r="E228" s="19"/>
      <c r="F228" s="20"/>
    </row>
    <row r="229" spans="1:6" x14ac:dyDescent="0.25">
      <c r="A229" s="101">
        <v>5</v>
      </c>
      <c r="B229" s="80" t="s">
        <v>69</v>
      </c>
      <c r="C229" s="66"/>
      <c r="D229" s="81"/>
      <c r="E229" s="19"/>
      <c r="F229" s="20"/>
    </row>
    <row r="230" spans="1:6" x14ac:dyDescent="0.25">
      <c r="A230" s="102">
        <v>5.0999999999999996</v>
      </c>
      <c r="B230" s="103" t="s">
        <v>70</v>
      </c>
      <c r="C230" s="66">
        <v>1300</v>
      </c>
      <c r="D230" s="81" t="s">
        <v>40</v>
      </c>
      <c r="E230" s="19">
        <f>+'Presupuesto Actual compl'!E70-E68</f>
        <v>0</v>
      </c>
      <c r="F230" s="20">
        <v>0</v>
      </c>
    </row>
    <row r="231" spans="1:6" x14ac:dyDescent="0.25">
      <c r="A231" s="102">
        <v>5.2</v>
      </c>
      <c r="B231" s="103" t="s">
        <v>71</v>
      </c>
      <c r="C231" s="66">
        <v>1250</v>
      </c>
      <c r="D231" s="81" t="s">
        <v>40</v>
      </c>
      <c r="E231" s="19">
        <f>+'Presupuesto Actual compl'!E71-E69</f>
        <v>0</v>
      </c>
      <c r="F231" s="20">
        <v>0</v>
      </c>
    </row>
    <row r="232" spans="1:6" x14ac:dyDescent="0.25">
      <c r="A232" s="102">
        <v>5.3</v>
      </c>
      <c r="B232" s="103" t="s">
        <v>72</v>
      </c>
      <c r="C232" s="66">
        <v>7310</v>
      </c>
      <c r="D232" s="81" t="s">
        <v>40</v>
      </c>
      <c r="E232" s="19">
        <f>+'Presupuesto Actual compl'!E72-E70</f>
        <v>0</v>
      </c>
      <c r="F232" s="20">
        <v>0</v>
      </c>
    </row>
    <row r="233" spans="1:6" x14ac:dyDescent="0.25">
      <c r="A233" s="102">
        <v>5.4</v>
      </c>
      <c r="B233" s="103" t="s">
        <v>73</v>
      </c>
      <c r="C233" s="66">
        <v>11167</v>
      </c>
      <c r="D233" s="81" t="s">
        <v>40</v>
      </c>
      <c r="E233" s="19">
        <f>+'Presupuesto Actual compl'!E73-E71</f>
        <v>0</v>
      </c>
      <c r="F233" s="20">
        <v>0</v>
      </c>
    </row>
    <row r="234" spans="1:6" x14ac:dyDescent="0.25">
      <c r="A234" s="102"/>
      <c r="B234" s="103"/>
      <c r="C234" s="66"/>
      <c r="D234" s="81"/>
      <c r="E234" s="19"/>
      <c r="F234" s="20"/>
    </row>
    <row r="235" spans="1:6" x14ac:dyDescent="0.25">
      <c r="A235" s="105">
        <v>6</v>
      </c>
      <c r="B235" s="63" t="s">
        <v>74</v>
      </c>
      <c r="C235" s="66"/>
      <c r="D235" s="81"/>
      <c r="E235" s="19"/>
      <c r="F235" s="20"/>
    </row>
    <row r="236" spans="1:6" x14ac:dyDescent="0.25">
      <c r="A236" s="102">
        <v>6.1</v>
      </c>
      <c r="B236" s="103" t="s">
        <v>70</v>
      </c>
      <c r="C236" s="66">
        <v>1300</v>
      </c>
      <c r="D236" s="81" t="s">
        <v>40</v>
      </c>
      <c r="E236" s="19">
        <f>+'Presupuesto Actual compl'!E76-E74</f>
        <v>11.969999999999999</v>
      </c>
      <c r="F236" s="20">
        <f t="shared" ref="F236:F239" si="7">+E236*C236</f>
        <v>15560.999999999998</v>
      </c>
    </row>
    <row r="237" spans="1:6" x14ac:dyDescent="0.25">
      <c r="A237" s="102">
        <v>6.2</v>
      </c>
      <c r="B237" s="103" t="s">
        <v>71</v>
      </c>
      <c r="C237" s="66">
        <v>1250</v>
      </c>
      <c r="D237" s="81" t="s">
        <v>40</v>
      </c>
      <c r="E237" s="19">
        <f>+'Presupuesto Actual compl'!E77-E75</f>
        <v>0</v>
      </c>
      <c r="F237" s="20">
        <f t="shared" si="7"/>
        <v>0</v>
      </c>
    </row>
    <row r="238" spans="1:6" x14ac:dyDescent="0.25">
      <c r="A238" s="102">
        <v>6.3</v>
      </c>
      <c r="B238" s="103" t="s">
        <v>72</v>
      </c>
      <c r="C238" s="66">
        <v>7310</v>
      </c>
      <c r="D238" s="81" t="s">
        <v>40</v>
      </c>
      <c r="E238" s="19">
        <f>+'Presupuesto Actual compl'!E78-E76</f>
        <v>0</v>
      </c>
      <c r="F238" s="20">
        <f t="shared" si="7"/>
        <v>0</v>
      </c>
    </row>
    <row r="239" spans="1:6" x14ac:dyDescent="0.25">
      <c r="A239" s="102">
        <v>6.4</v>
      </c>
      <c r="B239" s="103" t="s">
        <v>73</v>
      </c>
      <c r="C239" s="66">
        <v>11167</v>
      </c>
      <c r="D239" s="81" t="s">
        <v>40</v>
      </c>
      <c r="E239" s="19">
        <f>+'Presupuesto Actual compl'!E79-E77</f>
        <v>0</v>
      </c>
      <c r="F239" s="20">
        <f t="shared" si="7"/>
        <v>0</v>
      </c>
    </row>
    <row r="240" spans="1:6" x14ac:dyDescent="0.25">
      <c r="A240" s="102"/>
      <c r="B240" s="103"/>
      <c r="C240" s="66"/>
      <c r="D240" s="81"/>
      <c r="E240" s="19"/>
      <c r="F240" s="20"/>
    </row>
    <row r="241" spans="1:6" x14ac:dyDescent="0.25">
      <c r="A241" s="106">
        <v>7</v>
      </c>
      <c r="B241" s="65" t="s">
        <v>75</v>
      </c>
      <c r="C241" s="66"/>
      <c r="D241" s="81"/>
      <c r="E241" s="27"/>
      <c r="F241" s="20"/>
    </row>
    <row r="242" spans="1:6" x14ac:dyDescent="0.25">
      <c r="A242" s="106">
        <v>7.1</v>
      </c>
      <c r="B242" s="65" t="s">
        <v>76</v>
      </c>
      <c r="C242" s="66"/>
      <c r="D242" s="81"/>
      <c r="E242" s="27"/>
      <c r="F242" s="20"/>
    </row>
    <row r="243" spans="1:6" x14ac:dyDescent="0.25">
      <c r="A243" s="107" t="s">
        <v>77</v>
      </c>
      <c r="B243" s="61" t="s">
        <v>78</v>
      </c>
      <c r="C243" s="69">
        <v>1</v>
      </c>
      <c r="D243" s="57" t="s">
        <v>24</v>
      </c>
      <c r="E243" s="19">
        <f>+'Presupuesto Actual compl'!E83-E81</f>
        <v>1353.7856149999998</v>
      </c>
      <c r="F243" s="20">
        <f t="shared" ref="F243:F256" si="8">+E243*C243</f>
        <v>1353.7856149999998</v>
      </c>
    </row>
    <row r="244" spans="1:6" x14ac:dyDescent="0.25">
      <c r="A244" s="107" t="s">
        <v>79</v>
      </c>
      <c r="B244" s="61" t="s">
        <v>80</v>
      </c>
      <c r="C244" s="69">
        <v>1</v>
      </c>
      <c r="D244" s="57" t="s">
        <v>24</v>
      </c>
      <c r="E244" s="19">
        <f>+'Presupuesto Actual compl'!E84-E82</f>
        <v>1353.7856149999998</v>
      </c>
      <c r="F244" s="20">
        <f t="shared" si="8"/>
        <v>1353.7856149999998</v>
      </c>
    </row>
    <row r="245" spans="1:6" x14ac:dyDescent="0.25">
      <c r="A245" s="107" t="s">
        <v>81</v>
      </c>
      <c r="B245" s="61" t="s">
        <v>82</v>
      </c>
      <c r="C245" s="69">
        <v>3</v>
      </c>
      <c r="D245" s="57" t="s">
        <v>24</v>
      </c>
      <c r="E245" s="19">
        <f>+'Presupuesto Actual compl'!E85-E83</f>
        <v>1353.7856149999998</v>
      </c>
      <c r="F245" s="20">
        <f t="shared" si="8"/>
        <v>4061.3568449999993</v>
      </c>
    </row>
    <row r="246" spans="1:6" x14ac:dyDescent="0.25">
      <c r="A246" s="107" t="s">
        <v>83</v>
      </c>
      <c r="B246" s="61" t="s">
        <v>26</v>
      </c>
      <c r="C246" s="69">
        <v>5</v>
      </c>
      <c r="D246" s="57" t="s">
        <v>24</v>
      </c>
      <c r="E246" s="19">
        <f>+'Presupuesto Actual compl'!E86-E84</f>
        <v>1353.7856149999998</v>
      </c>
      <c r="F246" s="20">
        <f t="shared" si="8"/>
        <v>6768.9280749999989</v>
      </c>
    </row>
    <row r="247" spans="1:6" x14ac:dyDescent="0.25">
      <c r="A247" s="107" t="s">
        <v>84</v>
      </c>
      <c r="B247" s="61" t="s">
        <v>85</v>
      </c>
      <c r="C247" s="69">
        <v>2</v>
      </c>
      <c r="D247" s="57" t="s">
        <v>24</v>
      </c>
      <c r="E247" s="19">
        <f>+'Presupuesto Actual compl'!E87-E85</f>
        <v>1353.7856149999998</v>
      </c>
      <c r="F247" s="20">
        <f t="shared" si="8"/>
        <v>2707.5712299999996</v>
      </c>
    </row>
    <row r="248" spans="1:6" x14ac:dyDescent="0.25">
      <c r="A248" s="107" t="s">
        <v>86</v>
      </c>
      <c r="B248" s="61" t="s">
        <v>87</v>
      </c>
      <c r="C248" s="69">
        <v>2</v>
      </c>
      <c r="D248" s="57" t="s">
        <v>24</v>
      </c>
      <c r="E248" s="19">
        <f>+'Presupuesto Actual compl'!E88-E86</f>
        <v>1353.7856149999998</v>
      </c>
      <c r="F248" s="20">
        <f t="shared" si="8"/>
        <v>2707.5712299999996</v>
      </c>
    </row>
    <row r="249" spans="1:6" x14ac:dyDescent="0.25">
      <c r="A249" s="107" t="s">
        <v>88</v>
      </c>
      <c r="B249" s="61" t="s">
        <v>89</v>
      </c>
      <c r="C249" s="69">
        <v>2</v>
      </c>
      <c r="D249" s="57" t="s">
        <v>24</v>
      </c>
      <c r="E249" s="19">
        <f>+'Presupuesto Actual compl'!E89-E87</f>
        <v>1353.7856149999998</v>
      </c>
      <c r="F249" s="20">
        <f t="shared" si="8"/>
        <v>2707.5712299999996</v>
      </c>
    </row>
    <row r="250" spans="1:6" x14ac:dyDescent="0.25">
      <c r="A250" s="107" t="s">
        <v>90</v>
      </c>
      <c r="B250" s="61" t="s">
        <v>91</v>
      </c>
      <c r="C250" s="66">
        <v>1</v>
      </c>
      <c r="D250" s="57" t="s">
        <v>24</v>
      </c>
      <c r="E250" s="19">
        <f>+'Presupuesto Actual compl'!E90-E88</f>
        <v>1353.7856149999998</v>
      </c>
      <c r="F250" s="20">
        <f t="shared" si="8"/>
        <v>1353.7856149999998</v>
      </c>
    </row>
    <row r="251" spans="1:6" x14ac:dyDescent="0.25">
      <c r="A251" s="107" t="s">
        <v>92</v>
      </c>
      <c r="B251" s="61" t="s">
        <v>93</v>
      </c>
      <c r="C251" s="66">
        <v>5</v>
      </c>
      <c r="D251" s="57" t="s">
        <v>24</v>
      </c>
      <c r="E251" s="19">
        <f>+'Presupuesto Actual compl'!E91-E89</f>
        <v>1353.7856149999998</v>
      </c>
      <c r="F251" s="20">
        <f t="shared" si="8"/>
        <v>6768.9280749999989</v>
      </c>
    </row>
    <row r="252" spans="1:6" x14ac:dyDescent="0.25">
      <c r="A252" s="107" t="s">
        <v>94</v>
      </c>
      <c r="B252" s="61" t="s">
        <v>95</v>
      </c>
      <c r="C252" s="66">
        <v>1</v>
      </c>
      <c r="D252" s="57" t="s">
        <v>24</v>
      </c>
      <c r="E252" s="19">
        <f>+'Presupuesto Actual compl'!E92-E90</f>
        <v>1353.7856149999998</v>
      </c>
      <c r="F252" s="20">
        <f t="shared" si="8"/>
        <v>1353.7856149999998</v>
      </c>
    </row>
    <row r="253" spans="1:6" x14ac:dyDescent="0.25">
      <c r="A253" s="107" t="s">
        <v>96</v>
      </c>
      <c r="B253" s="61" t="s">
        <v>97</v>
      </c>
      <c r="C253" s="66">
        <v>1</v>
      </c>
      <c r="D253" s="57" t="s">
        <v>24</v>
      </c>
      <c r="E253" s="19">
        <f>+'Presupuesto Actual compl'!E93-E91</f>
        <v>1353.7856149999998</v>
      </c>
      <c r="F253" s="20">
        <f t="shared" si="8"/>
        <v>1353.7856149999998</v>
      </c>
    </row>
    <row r="254" spans="1:6" x14ac:dyDescent="0.25">
      <c r="A254" s="107" t="s">
        <v>98</v>
      </c>
      <c r="B254" s="61" t="s">
        <v>99</v>
      </c>
      <c r="C254" s="66">
        <v>1</v>
      </c>
      <c r="D254" s="57" t="s">
        <v>24</v>
      </c>
      <c r="E254" s="19">
        <f>+'Presupuesto Actual compl'!E94-E92</f>
        <v>1353.7856149999998</v>
      </c>
      <c r="F254" s="20">
        <f t="shared" si="8"/>
        <v>1353.7856149999998</v>
      </c>
    </row>
    <row r="255" spans="1:6" x14ac:dyDescent="0.25">
      <c r="A255" s="107" t="s">
        <v>100</v>
      </c>
      <c r="B255" s="61" t="s">
        <v>101</v>
      </c>
      <c r="C255" s="66">
        <v>1</v>
      </c>
      <c r="D255" s="57" t="s">
        <v>24</v>
      </c>
      <c r="E255" s="19">
        <f>+'Presupuesto Actual compl'!E95-E93</f>
        <v>1353.7856149999998</v>
      </c>
      <c r="F255" s="20">
        <f t="shared" si="8"/>
        <v>1353.7856149999998</v>
      </c>
    </row>
    <row r="256" spans="1:6" x14ac:dyDescent="0.25">
      <c r="A256" s="108" t="s">
        <v>102</v>
      </c>
      <c r="B256" s="109" t="s">
        <v>103</v>
      </c>
      <c r="C256" s="90">
        <v>2</v>
      </c>
      <c r="D256" s="110" t="s">
        <v>24</v>
      </c>
      <c r="E256" s="19">
        <f>+'Presupuesto Actual compl'!E96-E94</f>
        <v>1353.7856149999998</v>
      </c>
      <c r="F256" s="20">
        <f t="shared" si="8"/>
        <v>2707.5712299999996</v>
      </c>
    </row>
    <row r="257" spans="1:6" x14ac:dyDescent="0.25">
      <c r="A257" s="107"/>
      <c r="B257" s="61"/>
      <c r="C257" s="69"/>
      <c r="D257" s="57"/>
      <c r="E257" s="24"/>
      <c r="F257" s="20"/>
    </row>
    <row r="258" spans="1:6" x14ac:dyDescent="0.25">
      <c r="A258" s="111">
        <v>7.2</v>
      </c>
      <c r="B258" s="65" t="s">
        <v>104</v>
      </c>
      <c r="C258" s="69"/>
      <c r="D258" s="57"/>
      <c r="E258" s="24"/>
      <c r="F258" s="20"/>
    </row>
    <row r="259" spans="1:6" x14ac:dyDescent="0.25">
      <c r="A259" s="107" t="s">
        <v>105</v>
      </c>
      <c r="B259" s="61" t="s">
        <v>106</v>
      </c>
      <c r="C259" s="69">
        <v>7</v>
      </c>
      <c r="D259" s="57" t="s">
        <v>24</v>
      </c>
      <c r="E259" s="19">
        <f>+'Presupuesto Actual compl'!E99-E97</f>
        <v>2.4356149999994159</v>
      </c>
      <c r="F259" s="20">
        <f t="shared" ref="F259:F271" si="9">+E259*C259</f>
        <v>17.049304999995911</v>
      </c>
    </row>
    <row r="260" spans="1:6" x14ac:dyDescent="0.25">
      <c r="A260" s="107" t="s">
        <v>107</v>
      </c>
      <c r="B260" s="61" t="s">
        <v>108</v>
      </c>
      <c r="C260" s="69">
        <v>3</v>
      </c>
      <c r="D260" s="57" t="s">
        <v>24</v>
      </c>
      <c r="E260" s="19">
        <f>+'Presupuesto Actual compl'!E100-E98</f>
        <v>2.4356149999994159</v>
      </c>
      <c r="F260" s="20">
        <f t="shared" si="9"/>
        <v>7.3068449999982477</v>
      </c>
    </row>
    <row r="261" spans="1:6" x14ac:dyDescent="0.25">
      <c r="A261" s="107" t="s">
        <v>109</v>
      </c>
      <c r="B261" s="61" t="s">
        <v>110</v>
      </c>
      <c r="C261" s="69">
        <v>10</v>
      </c>
      <c r="D261" s="57" t="s">
        <v>24</v>
      </c>
      <c r="E261" s="19">
        <f>+'Presupuesto Actual compl'!E101-E99</f>
        <v>2.4356149999994159</v>
      </c>
      <c r="F261" s="20">
        <f t="shared" si="9"/>
        <v>24.356149999994159</v>
      </c>
    </row>
    <row r="262" spans="1:6" x14ac:dyDescent="0.25">
      <c r="A262" s="107" t="s">
        <v>111</v>
      </c>
      <c r="B262" s="61" t="s">
        <v>112</v>
      </c>
      <c r="C262" s="69">
        <v>18</v>
      </c>
      <c r="D262" s="57" t="s">
        <v>24</v>
      </c>
      <c r="E262" s="19">
        <f>+'Presupuesto Actual compl'!E102-E100</f>
        <v>2.4356149999994159</v>
      </c>
      <c r="F262" s="20">
        <f t="shared" si="9"/>
        <v>43.841069999989486</v>
      </c>
    </row>
    <row r="263" spans="1:6" x14ac:dyDescent="0.25">
      <c r="A263" s="107" t="s">
        <v>113</v>
      </c>
      <c r="B263" s="61" t="s">
        <v>114</v>
      </c>
      <c r="C263" s="66">
        <v>35</v>
      </c>
      <c r="D263" s="57" t="s">
        <v>24</v>
      </c>
      <c r="E263" s="19">
        <f>+'Presupuesto Actual compl'!E103-E101</f>
        <v>2.4356149999994159</v>
      </c>
      <c r="F263" s="20">
        <f t="shared" si="9"/>
        <v>85.246524999979556</v>
      </c>
    </row>
    <row r="264" spans="1:6" x14ac:dyDescent="0.25">
      <c r="A264" s="107" t="s">
        <v>115</v>
      </c>
      <c r="B264" s="61" t="s">
        <v>116</v>
      </c>
      <c r="C264" s="56">
        <v>4</v>
      </c>
      <c r="D264" s="57" t="s">
        <v>24</v>
      </c>
      <c r="E264" s="19">
        <f>+'Presupuesto Actual compl'!E104-E102</f>
        <v>2.4356149999994159</v>
      </c>
      <c r="F264" s="20">
        <f t="shared" si="9"/>
        <v>9.7424599999976635</v>
      </c>
    </row>
    <row r="265" spans="1:6" x14ac:dyDescent="0.25">
      <c r="A265" s="107" t="s">
        <v>117</v>
      </c>
      <c r="B265" s="61" t="s">
        <v>118</v>
      </c>
      <c r="C265" s="56">
        <v>41</v>
      </c>
      <c r="D265" s="57" t="s">
        <v>24</v>
      </c>
      <c r="E265" s="19">
        <f>+'Presupuesto Actual compl'!E105-E103</f>
        <v>2.4356149999994159</v>
      </c>
      <c r="F265" s="20">
        <f t="shared" si="9"/>
        <v>99.860214999976051</v>
      </c>
    </row>
    <row r="266" spans="1:6" x14ac:dyDescent="0.25">
      <c r="A266" s="107" t="s">
        <v>119</v>
      </c>
      <c r="B266" s="61" t="s">
        <v>120</v>
      </c>
      <c r="C266" s="56">
        <v>44</v>
      </c>
      <c r="D266" s="57" t="s">
        <v>24</v>
      </c>
      <c r="E266" s="19">
        <f>+'Presupuesto Actual compl'!E106-E104</f>
        <v>2.4356149999994159</v>
      </c>
      <c r="F266" s="20">
        <f t="shared" si="9"/>
        <v>107.1670599999743</v>
      </c>
    </row>
    <row r="267" spans="1:6" x14ac:dyDescent="0.25">
      <c r="A267" s="107" t="s">
        <v>121</v>
      </c>
      <c r="B267" s="61" t="s">
        <v>122</v>
      </c>
      <c r="C267" s="69">
        <v>15</v>
      </c>
      <c r="D267" s="57" t="s">
        <v>24</v>
      </c>
      <c r="E267" s="19">
        <f>+'Presupuesto Actual compl'!E107-E105</f>
        <v>2.4356149999994159</v>
      </c>
      <c r="F267" s="20">
        <f t="shared" si="9"/>
        <v>36.534224999991238</v>
      </c>
    </row>
    <row r="268" spans="1:6" ht="13.8" x14ac:dyDescent="0.25">
      <c r="A268" s="107" t="s">
        <v>123</v>
      </c>
      <c r="B268" s="61" t="s">
        <v>124</v>
      </c>
      <c r="C268" s="69">
        <v>46</v>
      </c>
      <c r="D268" s="57" t="s">
        <v>24</v>
      </c>
      <c r="E268" s="19">
        <f>+'Presupuesto Actual compl'!E108-E106</f>
        <v>0</v>
      </c>
      <c r="F268" s="20">
        <f t="shared" si="9"/>
        <v>0</v>
      </c>
    </row>
    <row r="269" spans="1:6" x14ac:dyDescent="0.25">
      <c r="A269" s="107" t="s">
        <v>125</v>
      </c>
      <c r="B269" s="61" t="s">
        <v>126</v>
      </c>
      <c r="C269" s="69">
        <v>510</v>
      </c>
      <c r="D269" s="57" t="s">
        <v>24</v>
      </c>
      <c r="E269" s="19">
        <f>+'Presupuesto Actual compl'!E109-E107</f>
        <v>0</v>
      </c>
      <c r="F269" s="20">
        <f t="shared" si="9"/>
        <v>0</v>
      </c>
    </row>
    <row r="270" spans="1:6" x14ac:dyDescent="0.25">
      <c r="A270" s="107" t="s">
        <v>127</v>
      </c>
      <c r="B270" s="112" t="s">
        <v>128</v>
      </c>
      <c r="C270" s="69">
        <v>177</v>
      </c>
      <c r="D270" s="57" t="s">
        <v>24</v>
      </c>
      <c r="E270" s="19">
        <f>+'Presupuesto Actual compl'!E110-E108</f>
        <v>0</v>
      </c>
      <c r="F270" s="20">
        <f t="shared" si="9"/>
        <v>0</v>
      </c>
    </row>
    <row r="271" spans="1:6" x14ac:dyDescent="0.25">
      <c r="A271" s="107" t="s">
        <v>129</v>
      </c>
      <c r="B271" s="61" t="s">
        <v>130</v>
      </c>
      <c r="C271" s="69">
        <v>46</v>
      </c>
      <c r="D271" s="57" t="s">
        <v>24</v>
      </c>
      <c r="E271" s="19">
        <f>+'Presupuesto Actual compl'!E111-E109</f>
        <v>0</v>
      </c>
      <c r="F271" s="20">
        <f t="shared" si="9"/>
        <v>0</v>
      </c>
    </row>
    <row r="272" spans="1:6" x14ac:dyDescent="0.25">
      <c r="A272" s="113"/>
      <c r="B272" s="114"/>
      <c r="C272" s="115"/>
      <c r="D272" s="81"/>
      <c r="E272" s="27"/>
      <c r="F272" s="20"/>
    </row>
    <row r="273" spans="1:8" x14ac:dyDescent="0.25">
      <c r="A273" s="116">
        <v>8</v>
      </c>
      <c r="B273" s="117" t="s">
        <v>131</v>
      </c>
      <c r="C273" s="69"/>
      <c r="D273" s="57"/>
      <c r="E273" s="24"/>
      <c r="F273" s="20"/>
    </row>
    <row r="274" spans="1:8" x14ac:dyDescent="0.25">
      <c r="A274" s="118">
        <v>8.1</v>
      </c>
      <c r="B274" s="61" t="s">
        <v>132</v>
      </c>
      <c r="C274" s="69">
        <v>27</v>
      </c>
      <c r="D274" s="57" t="s">
        <v>24</v>
      </c>
      <c r="E274" s="19">
        <f>+'Presupuesto Actual compl'!E114-E112</f>
        <v>7057.6560000000009</v>
      </c>
      <c r="F274" s="20">
        <f t="shared" ref="F274:F277" si="10">+E274*C274</f>
        <v>190556.71200000003</v>
      </c>
    </row>
    <row r="275" spans="1:8" x14ac:dyDescent="0.25">
      <c r="A275" s="118">
        <v>8.1999999999999993</v>
      </c>
      <c r="B275" s="88" t="s">
        <v>133</v>
      </c>
      <c r="C275" s="69">
        <v>22</v>
      </c>
      <c r="D275" s="57" t="s">
        <v>24</v>
      </c>
      <c r="E275" s="19">
        <f>+'Presupuesto Actual compl'!E115-E113</f>
        <v>5339.4580000000005</v>
      </c>
      <c r="F275" s="20">
        <f t="shared" si="10"/>
        <v>117468.07600000002</v>
      </c>
    </row>
    <row r="276" spans="1:8" x14ac:dyDescent="0.25">
      <c r="A276" s="118">
        <v>8.3000000000000007</v>
      </c>
      <c r="B276" s="88" t="s">
        <v>134</v>
      </c>
      <c r="C276" s="69">
        <v>7</v>
      </c>
      <c r="D276" s="57" t="s">
        <v>24</v>
      </c>
      <c r="E276" s="19">
        <f>+'Presupuesto Actual compl'!E116-E114</f>
        <v>3819.1350000000002</v>
      </c>
      <c r="F276" s="20">
        <f t="shared" si="10"/>
        <v>26733.945</v>
      </c>
    </row>
    <row r="277" spans="1:8" x14ac:dyDescent="0.25">
      <c r="A277" s="118">
        <v>8.4</v>
      </c>
      <c r="B277" s="61" t="s">
        <v>135</v>
      </c>
      <c r="C277" s="69">
        <v>16</v>
      </c>
      <c r="D277" s="57" t="s">
        <v>24</v>
      </c>
      <c r="E277" s="19">
        <f>+'Presupuesto Actual compl'!E117-E115</f>
        <v>3657.4639999999999</v>
      </c>
      <c r="F277" s="20">
        <f t="shared" si="10"/>
        <v>58519.423999999999</v>
      </c>
    </row>
    <row r="278" spans="1:8" x14ac:dyDescent="0.25">
      <c r="A278" s="118"/>
      <c r="B278" s="61"/>
      <c r="C278" s="69"/>
      <c r="D278" s="57"/>
      <c r="E278" s="24"/>
      <c r="F278" s="20"/>
    </row>
    <row r="279" spans="1:8" x14ac:dyDescent="0.25">
      <c r="A279" s="119">
        <v>9</v>
      </c>
      <c r="B279" s="120" t="s">
        <v>136</v>
      </c>
      <c r="C279" s="66"/>
      <c r="D279" s="57"/>
      <c r="E279" s="28"/>
      <c r="F279" s="20"/>
    </row>
    <row r="280" spans="1:8" x14ac:dyDescent="0.25">
      <c r="A280" s="92">
        <v>9.1</v>
      </c>
      <c r="B280" s="217" t="s">
        <v>137</v>
      </c>
      <c r="C280" s="66">
        <v>2</v>
      </c>
      <c r="D280" s="57" t="s">
        <v>24</v>
      </c>
      <c r="E280" s="19">
        <f>+'Presupuesto Actual compl'!E120-E118</f>
        <v>40902.633782383404</v>
      </c>
      <c r="F280" s="20">
        <f t="shared" ref="F280:F281" si="11">+E280*C280</f>
        <v>81805.267564766807</v>
      </c>
    </row>
    <row r="281" spans="1:8" x14ac:dyDescent="0.25">
      <c r="A281" s="92">
        <v>9.1999999999999993</v>
      </c>
      <c r="B281" s="217" t="s">
        <v>138</v>
      </c>
      <c r="C281" s="66">
        <v>1</v>
      </c>
      <c r="D281" s="57" t="s">
        <v>24</v>
      </c>
      <c r="E281" s="19">
        <f>+'Presupuesto Actual compl'!E121-E119</f>
        <v>0</v>
      </c>
      <c r="F281" s="20">
        <f t="shared" si="11"/>
        <v>0</v>
      </c>
    </row>
    <row r="282" spans="1:8" x14ac:dyDescent="0.25">
      <c r="A282" s="113"/>
      <c r="B282" s="114"/>
      <c r="C282" s="115"/>
      <c r="D282" s="57"/>
      <c r="E282" s="27"/>
      <c r="F282" s="20"/>
    </row>
    <row r="283" spans="1:8" x14ac:dyDescent="0.25">
      <c r="A283" s="116">
        <v>10</v>
      </c>
      <c r="B283" s="63" t="s">
        <v>139</v>
      </c>
      <c r="C283" s="66"/>
      <c r="D283" s="57"/>
      <c r="E283" s="24"/>
      <c r="F283" s="20"/>
    </row>
    <row r="284" spans="1:8" ht="39.6" x14ac:dyDescent="0.25">
      <c r="A284" s="118">
        <v>10.1</v>
      </c>
      <c r="B284" s="122" t="s">
        <v>140</v>
      </c>
      <c r="C284" s="123">
        <v>2</v>
      </c>
      <c r="D284" s="57" t="s">
        <v>24</v>
      </c>
      <c r="E284" s="19">
        <f>+'Presupuesto Actual compl'!E124-E122</f>
        <v>54590.380999999994</v>
      </c>
      <c r="F284" s="20">
        <f t="shared" ref="F284:F289" si="12">+E284*C284</f>
        <v>109180.76199999999</v>
      </c>
      <c r="H284" s="180"/>
    </row>
    <row r="285" spans="1:8" ht="39.6" x14ac:dyDescent="0.25">
      <c r="A285" s="118">
        <v>10.199999999999999</v>
      </c>
      <c r="B285" s="122" t="s">
        <v>141</v>
      </c>
      <c r="C285" s="123">
        <v>1</v>
      </c>
      <c r="D285" s="57" t="s">
        <v>24</v>
      </c>
      <c r="E285" s="19">
        <f>+'Presupuesto Actual compl'!E125-E123</f>
        <v>13750.699999999997</v>
      </c>
      <c r="F285" s="20">
        <f t="shared" si="12"/>
        <v>13750.699999999997</v>
      </c>
    </row>
    <row r="286" spans="1:8" ht="39.6" x14ac:dyDescent="0.25">
      <c r="A286" s="118">
        <v>10.3</v>
      </c>
      <c r="B286" s="122" t="s">
        <v>142</v>
      </c>
      <c r="C286" s="123">
        <v>13</v>
      </c>
      <c r="D286" s="57" t="s">
        <v>24</v>
      </c>
      <c r="E286" s="19">
        <f>+'Presupuesto Actual compl'!E126-E124</f>
        <v>10800.754000000001</v>
      </c>
      <c r="F286" s="20">
        <f t="shared" si="12"/>
        <v>140409.80200000003</v>
      </c>
    </row>
    <row r="287" spans="1:8" ht="39.6" x14ac:dyDescent="0.25">
      <c r="A287" s="118">
        <v>10.4</v>
      </c>
      <c r="B287" s="122" t="s">
        <v>143</v>
      </c>
      <c r="C287" s="123">
        <v>13</v>
      </c>
      <c r="D287" s="57" t="s">
        <v>24</v>
      </c>
      <c r="E287" s="19">
        <f>+'Presupuesto Actual compl'!E127-E125</f>
        <v>1575.5220000000045</v>
      </c>
      <c r="F287" s="20">
        <f t="shared" si="12"/>
        <v>20481.786000000058</v>
      </c>
    </row>
    <row r="288" spans="1:8" x14ac:dyDescent="0.25">
      <c r="A288" s="118">
        <v>10.5</v>
      </c>
      <c r="B288" s="122" t="s">
        <v>144</v>
      </c>
      <c r="C288" s="69">
        <v>18</v>
      </c>
      <c r="D288" s="57" t="s">
        <v>24</v>
      </c>
      <c r="E288" s="19">
        <f>+'Presupuesto Actual compl'!E128-E126</f>
        <v>0</v>
      </c>
      <c r="F288" s="20">
        <f t="shared" si="12"/>
        <v>0</v>
      </c>
    </row>
    <row r="289" spans="1:9" x14ac:dyDescent="0.25">
      <c r="A289" s="118">
        <v>10.6</v>
      </c>
      <c r="B289" s="122" t="s">
        <v>145</v>
      </c>
      <c r="C289" s="69">
        <v>2</v>
      </c>
      <c r="D289" s="57" t="s">
        <v>24</v>
      </c>
      <c r="E289" s="19">
        <f>+'Presupuesto Actual compl'!E129-E127</f>
        <v>0</v>
      </c>
      <c r="F289" s="20">
        <f t="shared" si="12"/>
        <v>0</v>
      </c>
    </row>
    <row r="290" spans="1:9" x14ac:dyDescent="0.25">
      <c r="A290" s="124"/>
      <c r="B290" s="125"/>
      <c r="C290" s="126"/>
      <c r="D290" s="127"/>
      <c r="E290" s="29"/>
      <c r="F290" s="20"/>
    </row>
    <row r="291" spans="1:9" x14ac:dyDescent="0.25">
      <c r="A291" s="116">
        <v>11</v>
      </c>
      <c r="B291" s="117" t="s">
        <v>146</v>
      </c>
      <c r="C291" s="123"/>
      <c r="D291" s="128"/>
      <c r="E291" s="30"/>
      <c r="F291" s="20"/>
    </row>
    <row r="292" spans="1:9" ht="26.4" x14ac:dyDescent="0.25">
      <c r="A292" s="129">
        <v>11.1</v>
      </c>
      <c r="B292" s="130" t="s">
        <v>147</v>
      </c>
      <c r="C292" s="131">
        <v>408</v>
      </c>
      <c r="D292" s="132" t="s">
        <v>24</v>
      </c>
      <c r="E292" s="19">
        <f>+'Presupuesto Actual compl'!E132-E130</f>
        <v>2404.6799999999994</v>
      </c>
      <c r="F292" s="20">
        <f t="shared" ref="F292" si="13">+E292*C292</f>
        <v>981109.43999999971</v>
      </c>
    </row>
    <row r="293" spans="1:9" x14ac:dyDescent="0.25">
      <c r="A293" s="133"/>
      <c r="B293" s="61"/>
      <c r="C293" s="66"/>
      <c r="D293" s="134"/>
      <c r="E293" s="24"/>
      <c r="F293" s="20"/>
    </row>
    <row r="294" spans="1:9" x14ac:dyDescent="0.25">
      <c r="A294" s="50">
        <v>12</v>
      </c>
      <c r="B294" s="135" t="s">
        <v>148</v>
      </c>
      <c r="C294" s="66"/>
      <c r="D294" s="134"/>
      <c r="E294" s="24"/>
      <c r="F294" s="20"/>
    </row>
    <row r="295" spans="1:9" ht="26.4" x14ac:dyDescent="0.25">
      <c r="A295" s="136">
        <v>12.1</v>
      </c>
      <c r="B295" s="216" t="s">
        <v>33</v>
      </c>
      <c r="C295" s="97">
        <v>13824</v>
      </c>
      <c r="D295" s="137" t="s">
        <v>40</v>
      </c>
      <c r="E295" s="19">
        <f>+'Presupuesto Actual compl'!E135-E133</f>
        <v>0</v>
      </c>
      <c r="F295" s="20">
        <f t="shared" ref="F295:F296" si="14">+E295*C295</f>
        <v>0</v>
      </c>
    </row>
    <row r="296" spans="1:9" ht="39.6" x14ac:dyDescent="0.25">
      <c r="A296" s="136">
        <v>12.2</v>
      </c>
      <c r="B296" s="216" t="s">
        <v>149</v>
      </c>
      <c r="C296" s="97">
        <v>13824</v>
      </c>
      <c r="D296" s="137" t="s">
        <v>40</v>
      </c>
      <c r="E296" s="19">
        <f>+'Presupuesto Actual compl'!E136-E134</f>
        <v>0</v>
      </c>
      <c r="F296" s="20">
        <f t="shared" si="14"/>
        <v>0</v>
      </c>
    </row>
    <row r="297" spans="1:9" x14ac:dyDescent="0.25">
      <c r="A297" s="138"/>
      <c r="B297" s="61"/>
      <c r="C297" s="134"/>
      <c r="D297" s="139"/>
      <c r="E297" s="24"/>
      <c r="F297" s="20"/>
    </row>
    <row r="298" spans="1:9" x14ac:dyDescent="0.25">
      <c r="A298" s="50">
        <v>13</v>
      </c>
      <c r="B298" s="140" t="s">
        <v>150</v>
      </c>
      <c r="C298" s="141"/>
      <c r="D298" s="85"/>
      <c r="E298" s="24"/>
      <c r="F298" s="20"/>
    </row>
    <row r="299" spans="1:9" ht="15.6" x14ac:dyDescent="0.25">
      <c r="A299" s="118">
        <v>13.1</v>
      </c>
      <c r="B299" s="72" t="s">
        <v>151</v>
      </c>
      <c r="C299" s="142">
        <v>10368</v>
      </c>
      <c r="D299" s="143" t="s">
        <v>152</v>
      </c>
      <c r="E299" s="19">
        <f>+'Presupuesto Actual compl'!E139-E137</f>
        <v>56.125555555555593</v>
      </c>
      <c r="F299" s="20">
        <f>+C299*E299</f>
        <v>581909.76000000036</v>
      </c>
      <c r="G299" s="180"/>
    </row>
    <row r="300" spans="1:9" ht="15.6" x14ac:dyDescent="0.25">
      <c r="A300" s="118">
        <v>13.2</v>
      </c>
      <c r="B300" s="72" t="s">
        <v>153</v>
      </c>
      <c r="C300" s="144">
        <v>10368</v>
      </c>
      <c r="D300" s="145" t="s">
        <v>152</v>
      </c>
      <c r="E300" s="19">
        <f>+'Presupuesto Actual compl'!E140-E138</f>
        <v>308.5612903225807</v>
      </c>
      <c r="F300" s="20">
        <f t="shared" ref="F300:F303" si="15">+C300*E300</f>
        <v>3199163.4580645165</v>
      </c>
      <c r="G300" s="180"/>
    </row>
    <row r="301" spans="1:9" ht="13.8" x14ac:dyDescent="0.25">
      <c r="A301" s="118">
        <v>13.3</v>
      </c>
      <c r="B301" s="72" t="s">
        <v>154</v>
      </c>
      <c r="C301" s="62">
        <v>25920</v>
      </c>
      <c r="D301" s="146" t="s">
        <v>155</v>
      </c>
      <c r="E301" s="19">
        <f>+'Presupuesto Actual compl'!E141-E139</f>
        <v>0</v>
      </c>
      <c r="F301" s="20">
        <f t="shared" si="15"/>
        <v>0</v>
      </c>
    </row>
    <row r="302" spans="1:9" x14ac:dyDescent="0.25">
      <c r="A302" s="118"/>
      <c r="B302" s="103"/>
      <c r="C302" s="62"/>
      <c r="D302" s="146"/>
      <c r="E302" s="19">
        <f>+'Presupuesto Actual compl'!E142-E140</f>
        <v>0</v>
      </c>
      <c r="F302" s="20">
        <f t="shared" si="15"/>
        <v>0</v>
      </c>
    </row>
    <row r="303" spans="1:9" x14ac:dyDescent="0.25">
      <c r="A303" s="118">
        <v>14</v>
      </c>
      <c r="B303" s="72" t="s">
        <v>156</v>
      </c>
      <c r="C303" s="66">
        <v>13824</v>
      </c>
      <c r="D303" s="134" t="s">
        <v>40</v>
      </c>
      <c r="E303" s="19">
        <f>+'Presupuesto Actual compl'!E143-E141</f>
        <v>12.100000000000001</v>
      </c>
      <c r="F303" s="20">
        <f t="shared" si="15"/>
        <v>167270.40000000002</v>
      </c>
      <c r="G303" s="180"/>
      <c r="I303" s="472"/>
    </row>
    <row r="304" spans="1:9" x14ac:dyDescent="0.25">
      <c r="A304" s="147"/>
      <c r="B304" s="148" t="s">
        <v>157</v>
      </c>
      <c r="C304" s="149"/>
      <c r="D304" s="150"/>
      <c r="E304" s="34"/>
      <c r="F304" s="34">
        <f>SUM(F203:F303)</f>
        <v>13325039.862647735</v>
      </c>
      <c r="I304" s="472"/>
    </row>
    <row r="305" spans="1:6" x14ac:dyDescent="0.25">
      <c r="A305" s="151"/>
      <c r="B305" s="58"/>
      <c r="C305" s="59"/>
      <c r="D305" s="60"/>
      <c r="E305" s="33"/>
      <c r="F305" s="20"/>
    </row>
    <row r="306" spans="1:6" x14ac:dyDescent="0.25">
      <c r="A306" s="152" t="s">
        <v>158</v>
      </c>
      <c r="B306" s="153" t="s">
        <v>159</v>
      </c>
      <c r="C306" s="154"/>
      <c r="D306" s="155"/>
      <c r="E306" s="35"/>
      <c r="F306" s="20"/>
    </row>
    <row r="307" spans="1:6" x14ac:dyDescent="0.25">
      <c r="A307" s="156"/>
      <c r="B307" s="157"/>
      <c r="C307" s="158"/>
      <c r="D307" s="159"/>
      <c r="E307" s="1"/>
      <c r="F307" s="20"/>
    </row>
    <row r="308" spans="1:6" x14ac:dyDescent="0.25">
      <c r="A308" s="156">
        <v>1</v>
      </c>
      <c r="B308" s="157" t="s">
        <v>160</v>
      </c>
      <c r="C308" s="158"/>
      <c r="D308" s="159"/>
      <c r="E308" s="1"/>
      <c r="F308" s="20"/>
    </row>
    <row r="309" spans="1:6" x14ac:dyDescent="0.25">
      <c r="A309" s="160">
        <v>1.1000000000000001</v>
      </c>
      <c r="B309" s="157" t="s">
        <v>161</v>
      </c>
      <c r="C309" s="158"/>
      <c r="D309" s="159"/>
      <c r="E309" s="1"/>
      <c r="F309" s="20"/>
    </row>
    <row r="310" spans="1:6" x14ac:dyDescent="0.25">
      <c r="A310" s="161" t="s">
        <v>162</v>
      </c>
      <c r="B310" s="61" t="s">
        <v>163</v>
      </c>
      <c r="C310" s="62">
        <v>29.3</v>
      </c>
      <c r="D310" s="57" t="s">
        <v>164</v>
      </c>
      <c r="E310" s="19">
        <f>+'Presupuesto Actual compl'!E150-E148</f>
        <v>0</v>
      </c>
      <c r="F310" s="20">
        <f t="shared" ref="F310:F311" si="16">+E310*C310</f>
        <v>0</v>
      </c>
    </row>
    <row r="311" spans="1:6" ht="26.4" x14ac:dyDescent="0.25">
      <c r="A311" s="161" t="s">
        <v>165</v>
      </c>
      <c r="B311" s="72" t="s">
        <v>166</v>
      </c>
      <c r="C311" s="62">
        <v>38.090000000000003</v>
      </c>
      <c r="D311" s="57" t="s">
        <v>164</v>
      </c>
      <c r="E311" s="19">
        <f>+'Presupuesto Actual compl'!E151-E149</f>
        <v>0</v>
      </c>
      <c r="F311" s="20">
        <f t="shared" si="16"/>
        <v>0</v>
      </c>
    </row>
    <row r="312" spans="1:6" x14ac:dyDescent="0.25">
      <c r="A312" s="156"/>
      <c r="B312" s="157"/>
      <c r="C312" s="158"/>
      <c r="D312" s="159"/>
      <c r="E312" s="1"/>
      <c r="F312" s="20"/>
    </row>
    <row r="313" spans="1:6" x14ac:dyDescent="0.25">
      <c r="A313" s="160">
        <v>1.2</v>
      </c>
      <c r="B313" s="63" t="s">
        <v>167</v>
      </c>
      <c r="C313" s="62"/>
      <c r="D313" s="57"/>
      <c r="E313" s="1"/>
      <c r="F313" s="20"/>
    </row>
    <row r="314" spans="1:6" x14ac:dyDescent="0.25">
      <c r="A314" s="161" t="s">
        <v>168</v>
      </c>
      <c r="B314" s="61" t="s">
        <v>169</v>
      </c>
      <c r="C314" s="62">
        <v>244.2</v>
      </c>
      <c r="D314" s="57" t="s">
        <v>40</v>
      </c>
      <c r="E314" s="19">
        <f>+'Presupuesto Actual compl'!E154-E152</f>
        <v>228.68825910931173</v>
      </c>
      <c r="F314" s="20">
        <f t="shared" ref="F314:F315" si="17">+E314*C314</f>
        <v>55845.672874493925</v>
      </c>
    </row>
    <row r="315" spans="1:6" x14ac:dyDescent="0.25">
      <c r="A315" s="161" t="s">
        <v>170</v>
      </c>
      <c r="B315" s="162" t="s">
        <v>171</v>
      </c>
      <c r="C315" s="62">
        <v>195.36</v>
      </c>
      <c r="D315" s="57" t="s">
        <v>172</v>
      </c>
      <c r="E315" s="19">
        <f>+'Presupuesto Actual compl'!E155-E153</f>
        <v>124.49000000000012</v>
      </c>
      <c r="F315" s="20">
        <f t="shared" si="17"/>
        <v>24320.366400000024</v>
      </c>
    </row>
    <row r="316" spans="1:6" x14ac:dyDescent="0.25">
      <c r="A316" s="147"/>
      <c r="B316" s="148" t="s">
        <v>173</v>
      </c>
      <c r="C316" s="149"/>
      <c r="D316" s="150"/>
      <c r="E316" s="34"/>
      <c r="F316" s="34">
        <f>SUM(F306:F315)</f>
        <v>80166.039274493945</v>
      </c>
    </row>
    <row r="317" spans="1:6" x14ac:dyDescent="0.25">
      <c r="A317" s="76"/>
      <c r="B317" s="163"/>
      <c r="C317" s="100"/>
      <c r="D317" s="81"/>
      <c r="E317" s="27"/>
      <c r="F317" s="20"/>
    </row>
    <row r="318" spans="1:6" x14ac:dyDescent="0.25">
      <c r="A318" s="151" t="s">
        <v>174</v>
      </c>
      <c r="B318" s="58" t="s">
        <v>175</v>
      </c>
      <c r="C318" s="141"/>
      <c r="D318" s="81"/>
      <c r="E318" s="1"/>
      <c r="F318" s="20"/>
    </row>
    <row r="319" spans="1:6" ht="52.8" x14ac:dyDescent="0.25">
      <c r="A319" s="118">
        <v>1</v>
      </c>
      <c r="B319" s="93" t="s">
        <v>176</v>
      </c>
      <c r="C319" s="100">
        <v>1</v>
      </c>
      <c r="D319" s="81" t="s">
        <v>24</v>
      </c>
      <c r="E319" s="19">
        <f>+'Presupuesto Actual compl'!E159-E157</f>
        <v>0</v>
      </c>
      <c r="F319" s="20">
        <f t="shared" ref="F319:F320" si="18">+E319*C319</f>
        <v>0</v>
      </c>
    </row>
    <row r="320" spans="1:6" ht="26.4" x14ac:dyDescent="0.25">
      <c r="A320" s="118">
        <v>2</v>
      </c>
      <c r="B320" s="164" t="s">
        <v>177</v>
      </c>
      <c r="C320" s="100">
        <v>10</v>
      </c>
      <c r="D320" s="81" t="s">
        <v>178</v>
      </c>
      <c r="E320" s="19">
        <f>+'Presupuesto Actual compl'!E160-E158</f>
        <v>0</v>
      </c>
      <c r="F320" s="20">
        <f t="shared" si="18"/>
        <v>0</v>
      </c>
    </row>
    <row r="321" spans="1:7" x14ac:dyDescent="0.25">
      <c r="A321" s="165"/>
      <c r="B321" s="166" t="s">
        <v>179</v>
      </c>
      <c r="C321" s="167"/>
      <c r="D321" s="150"/>
      <c r="E321" s="38"/>
      <c r="F321" s="39">
        <f>SUM(F318:F320)</f>
        <v>0</v>
      </c>
    </row>
    <row r="322" spans="1:7" ht="13.8" thickBot="1" x14ac:dyDescent="0.3">
      <c r="A322" s="76"/>
      <c r="B322" s="163"/>
      <c r="C322" s="100"/>
      <c r="D322" s="81"/>
      <c r="E322" s="27"/>
      <c r="F322" s="40"/>
    </row>
    <row r="323" spans="1:7" x14ac:dyDescent="0.25">
      <c r="A323" s="280"/>
      <c r="B323" s="281" t="s">
        <v>180</v>
      </c>
      <c r="C323" s="282"/>
      <c r="D323" s="283"/>
      <c r="E323" s="284"/>
      <c r="F323" s="285">
        <f>F201+F304+F316+F321</f>
        <v>13423290.336922228</v>
      </c>
    </row>
    <row r="324" spans="1:7" ht="13.8" thickBot="1" x14ac:dyDescent="0.3">
      <c r="A324" s="274"/>
      <c r="B324" s="275" t="s">
        <v>180</v>
      </c>
      <c r="C324" s="276"/>
      <c r="D324" s="277"/>
      <c r="E324" s="278"/>
      <c r="F324" s="279">
        <f>+F323</f>
        <v>13423290.336922228</v>
      </c>
    </row>
    <row r="325" spans="1:7" x14ac:dyDescent="0.25">
      <c r="A325" s="288"/>
      <c r="B325" s="289"/>
      <c r="C325" s="290"/>
      <c r="D325" s="291"/>
      <c r="E325" s="292"/>
      <c r="F325" s="293"/>
    </row>
    <row r="326" spans="1:7" x14ac:dyDescent="0.25">
      <c r="A326" s="294"/>
      <c r="B326" s="116" t="s">
        <v>182</v>
      </c>
      <c r="C326" s="171"/>
      <c r="D326" s="162"/>
      <c r="E326" s="37"/>
      <c r="F326" s="295"/>
    </row>
    <row r="327" spans="1:7" x14ac:dyDescent="0.25">
      <c r="A327" s="294"/>
      <c r="B327" s="172" t="s">
        <v>183</v>
      </c>
      <c r="C327" s="173">
        <v>0.03</v>
      </c>
      <c r="D327" s="162"/>
      <c r="E327" s="37"/>
      <c r="F327" s="296">
        <f>C327*F324</f>
        <v>402698.71010766685</v>
      </c>
      <c r="G327" s="286"/>
    </row>
    <row r="328" spans="1:7" x14ac:dyDescent="0.25">
      <c r="A328" s="294"/>
      <c r="B328" s="172" t="s">
        <v>184</v>
      </c>
      <c r="C328" s="173">
        <v>0.1</v>
      </c>
      <c r="D328" s="162"/>
      <c r="E328" s="37"/>
      <c r="F328" s="296">
        <f>F324*C328</f>
        <v>1342329.033692223</v>
      </c>
      <c r="G328" s="286"/>
    </row>
    <row r="329" spans="1:7" x14ac:dyDescent="0.25">
      <c r="A329" s="294"/>
      <c r="B329" s="172" t="s">
        <v>185</v>
      </c>
      <c r="C329" s="173">
        <v>0.04</v>
      </c>
      <c r="D329" s="162"/>
      <c r="E329" s="37"/>
      <c r="F329" s="296">
        <f>F324*C329</f>
        <v>536931.61347688909</v>
      </c>
      <c r="G329" s="286"/>
    </row>
    <row r="330" spans="1:7" x14ac:dyDescent="0.25">
      <c r="A330" s="294"/>
      <c r="B330" s="172" t="s">
        <v>186</v>
      </c>
      <c r="C330" s="173">
        <v>0.05</v>
      </c>
      <c r="D330" s="162"/>
      <c r="E330" s="37"/>
      <c r="F330" s="296">
        <f>F324*C330</f>
        <v>671164.51684611151</v>
      </c>
      <c r="G330" s="286"/>
    </row>
    <row r="331" spans="1:7" x14ac:dyDescent="0.25">
      <c r="A331" s="294"/>
      <c r="B331" s="172" t="s">
        <v>187</v>
      </c>
      <c r="C331" s="173">
        <v>0.03</v>
      </c>
      <c r="D331" s="162"/>
      <c r="E331" s="37"/>
      <c r="F331" s="296">
        <f>F324*C331</f>
        <v>402698.71010766685</v>
      </c>
      <c r="G331" s="286"/>
    </row>
    <row r="332" spans="1:7" x14ac:dyDescent="0.25">
      <c r="A332" s="294"/>
      <c r="B332" s="172" t="s">
        <v>188</v>
      </c>
      <c r="C332" s="173">
        <v>0.01</v>
      </c>
      <c r="D332" s="162"/>
      <c r="E332" s="37"/>
      <c r="F332" s="296">
        <f>F324*C332</f>
        <v>134232.90336922227</v>
      </c>
      <c r="G332" s="286"/>
    </row>
    <row r="333" spans="1:7" x14ac:dyDescent="0.25">
      <c r="A333" s="297"/>
      <c r="B333" s="172" t="s">
        <v>189</v>
      </c>
      <c r="C333" s="173">
        <v>1E-3</v>
      </c>
      <c r="D333" s="162"/>
      <c r="E333" s="37"/>
      <c r="F333" s="296">
        <f>F324*C333</f>
        <v>13423.290336922229</v>
      </c>
      <c r="G333" s="286"/>
    </row>
    <row r="334" spans="1:7" x14ac:dyDescent="0.25">
      <c r="A334" s="297"/>
      <c r="B334" s="174" t="s">
        <v>190</v>
      </c>
      <c r="C334" s="175">
        <v>0.18</v>
      </c>
      <c r="D334" s="162"/>
      <c r="E334" s="37"/>
      <c r="F334" s="296">
        <f>F328*C334</f>
        <v>241619.22606460014</v>
      </c>
      <c r="G334" s="286"/>
    </row>
    <row r="335" spans="1:7" x14ac:dyDescent="0.25">
      <c r="A335" s="297"/>
      <c r="B335" s="172" t="s">
        <v>191</v>
      </c>
      <c r="C335" s="173">
        <v>0.1</v>
      </c>
      <c r="D335" s="162"/>
      <c r="E335" s="37"/>
      <c r="F335" s="296">
        <f>F324*C335</f>
        <v>1342329.033692223</v>
      </c>
      <c r="G335" s="286"/>
    </row>
    <row r="336" spans="1:7" ht="26.4" x14ac:dyDescent="0.25">
      <c r="A336" s="297"/>
      <c r="B336" s="176" t="s">
        <v>192</v>
      </c>
      <c r="C336" s="177">
        <v>0.03</v>
      </c>
      <c r="D336" s="162"/>
      <c r="E336" s="37"/>
      <c r="F336" s="296">
        <f>F324*C336</f>
        <v>402698.71010766685</v>
      </c>
      <c r="G336" s="286"/>
    </row>
    <row r="337" spans="1:8" x14ac:dyDescent="0.25">
      <c r="A337" s="297"/>
      <c r="B337" s="176" t="s">
        <v>193</v>
      </c>
      <c r="C337" s="177">
        <v>1.4999999999999999E-2</v>
      </c>
      <c r="D337" s="162"/>
      <c r="E337" s="37"/>
      <c r="F337" s="296">
        <f>F324*C337</f>
        <v>201349.35505383342</v>
      </c>
      <c r="G337" s="286"/>
    </row>
    <row r="338" spans="1:8" x14ac:dyDescent="0.25">
      <c r="A338" s="297"/>
      <c r="B338" s="172" t="s">
        <v>194</v>
      </c>
      <c r="C338" s="173">
        <v>0.05</v>
      </c>
      <c r="D338" s="60"/>
      <c r="E338" s="42"/>
      <c r="F338" s="296">
        <f>F324*C338</f>
        <v>671164.51684611151</v>
      </c>
      <c r="G338" s="286"/>
    </row>
    <row r="339" spans="1:8" x14ac:dyDescent="0.25">
      <c r="A339" s="298"/>
      <c r="B339" s="138" t="s">
        <v>195</v>
      </c>
      <c r="C339" s="158"/>
      <c r="D339" s="159"/>
      <c r="E339" s="36"/>
      <c r="F339" s="299">
        <f>SUM(F327:F338)</f>
        <v>6362639.6197011359</v>
      </c>
      <c r="G339" s="287"/>
    </row>
    <row r="340" spans="1:8" x14ac:dyDescent="0.25">
      <c r="A340" s="235"/>
      <c r="B340" s="104"/>
      <c r="C340" s="178"/>
      <c r="D340" s="179"/>
      <c r="E340" s="27"/>
      <c r="F340" s="300"/>
    </row>
    <row r="341" spans="1:8" ht="13.8" thickBot="1" x14ac:dyDescent="0.3">
      <c r="A341" s="301"/>
      <c r="B341" s="302" t="s">
        <v>196</v>
      </c>
      <c r="C341" s="303"/>
      <c r="D341" s="304"/>
      <c r="E341" s="305"/>
      <c r="F341" s="279">
        <f>F324+F339</f>
        <v>19785929.956623364</v>
      </c>
      <c r="G341" s="180"/>
    </row>
    <row r="343" spans="1:8" x14ac:dyDescent="0.25">
      <c r="H343" s="180"/>
    </row>
    <row r="345" spans="1:8" x14ac:dyDescent="0.25">
      <c r="F345" s="180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CC56-850A-4E25-91DD-764E015BFF4D}">
  <dimension ref="A3:G347"/>
  <sheetViews>
    <sheetView topLeftCell="A321" zoomScale="115" zoomScaleNormal="115" workbookViewId="0">
      <selection activeCell="F343" sqref="F343"/>
    </sheetView>
  </sheetViews>
  <sheetFormatPr baseColWidth="10" defaultColWidth="10.6640625" defaultRowHeight="13.2" x14ac:dyDescent="0.25"/>
  <cols>
    <col min="2" max="2" width="61" customWidth="1"/>
    <col min="3" max="3" width="10.5546875" customWidth="1"/>
    <col min="5" max="5" width="12.6640625" customWidth="1"/>
    <col min="6" max="6" width="18.6640625" style="455" customWidth="1"/>
    <col min="7" max="7" width="14" bestFit="1" customWidth="1"/>
  </cols>
  <sheetData>
    <row r="3" spans="1:6" ht="15.6" x14ac:dyDescent="0.25">
      <c r="A3" s="508" t="s">
        <v>0</v>
      </c>
      <c r="B3" s="508"/>
      <c r="C3" s="508"/>
      <c r="D3" s="508"/>
      <c r="E3" s="508"/>
      <c r="F3" s="508"/>
    </row>
    <row r="4" spans="1:6" x14ac:dyDescent="0.25">
      <c r="A4" s="506" t="s">
        <v>1</v>
      </c>
      <c r="B4" s="507"/>
      <c r="C4" s="507"/>
      <c r="D4" s="507"/>
      <c r="E4" s="507"/>
      <c r="F4" s="507"/>
    </row>
    <row r="5" spans="1:6" x14ac:dyDescent="0.25">
      <c r="A5" s="2" t="s">
        <v>2</v>
      </c>
      <c r="B5" s="3"/>
      <c r="C5" s="3"/>
      <c r="D5" s="3"/>
      <c r="E5" s="4" t="s">
        <v>3</v>
      </c>
      <c r="F5" s="5"/>
    </row>
    <row r="6" spans="1:6" x14ac:dyDescent="0.25">
      <c r="A6" s="6"/>
      <c r="B6" s="7"/>
      <c r="C6" s="7"/>
      <c r="D6" s="8"/>
      <c r="E6" s="9"/>
      <c r="F6" s="10"/>
    </row>
    <row r="7" spans="1:6" x14ac:dyDescent="0.25">
      <c r="A7" s="43" t="s">
        <v>4</v>
      </c>
      <c r="B7" s="43" t="s">
        <v>5</v>
      </c>
      <c r="C7" s="44" t="s">
        <v>6</v>
      </c>
      <c r="D7" s="43" t="s">
        <v>7</v>
      </c>
      <c r="E7" s="12" t="s">
        <v>8</v>
      </c>
      <c r="F7" s="11" t="s">
        <v>9</v>
      </c>
    </row>
    <row r="8" spans="1:6" x14ac:dyDescent="0.25">
      <c r="A8" s="45"/>
      <c r="B8" s="45"/>
      <c r="C8" s="46"/>
      <c r="D8" s="45"/>
      <c r="E8" s="14"/>
      <c r="F8" s="13"/>
    </row>
    <row r="9" spans="1:6" x14ac:dyDescent="0.25">
      <c r="A9" s="45"/>
      <c r="B9" s="47"/>
      <c r="C9" s="48"/>
      <c r="D9" s="49"/>
      <c r="E9" s="15"/>
      <c r="F9" s="16"/>
    </row>
    <row r="10" spans="1:6" ht="26.4" x14ac:dyDescent="0.25">
      <c r="A10" s="50" t="s">
        <v>10</v>
      </c>
      <c r="B10" s="51" t="s">
        <v>11</v>
      </c>
      <c r="C10" s="52"/>
      <c r="D10" s="53"/>
      <c r="E10" s="17"/>
      <c r="F10" s="18"/>
    </row>
    <row r="11" spans="1:6" x14ac:dyDescent="0.25">
      <c r="A11" s="50"/>
      <c r="B11" s="51"/>
      <c r="C11" s="52"/>
      <c r="D11" s="53"/>
      <c r="E11" s="17"/>
      <c r="F11" s="18"/>
    </row>
    <row r="12" spans="1:6" x14ac:dyDescent="0.25">
      <c r="A12" s="50">
        <v>1</v>
      </c>
      <c r="B12" s="51" t="s">
        <v>12</v>
      </c>
      <c r="C12" s="52"/>
      <c r="D12" s="53"/>
      <c r="E12" s="17"/>
      <c r="F12" s="18"/>
    </row>
    <row r="13" spans="1:6" x14ac:dyDescent="0.25">
      <c r="A13" s="54">
        <v>1.1000000000000001</v>
      </c>
      <c r="B13" s="55" t="s">
        <v>13</v>
      </c>
      <c r="C13" s="56">
        <v>1</v>
      </c>
      <c r="D13" s="57" t="s">
        <v>14</v>
      </c>
      <c r="E13" s="19">
        <f>+'Presupuesto Base 1'!E13</f>
        <v>15500</v>
      </c>
      <c r="F13" s="20">
        <f>+E13*C13</f>
        <v>15500</v>
      </c>
    </row>
    <row r="14" spans="1:6" x14ac:dyDescent="0.25">
      <c r="A14" s="54">
        <v>1.2</v>
      </c>
      <c r="B14" s="55" t="s">
        <v>15</v>
      </c>
      <c r="C14" s="56">
        <v>4</v>
      </c>
      <c r="D14" s="57" t="s">
        <v>16</v>
      </c>
      <c r="E14" s="19">
        <f>+'Presupuesto Base 1'!E14</f>
        <v>2846.85</v>
      </c>
      <c r="F14" s="20">
        <f t="shared" ref="F14:F77" si="0">+E14*C14</f>
        <v>11387.4</v>
      </c>
    </row>
    <row r="15" spans="1:6" x14ac:dyDescent="0.25">
      <c r="A15" s="54">
        <v>1.3</v>
      </c>
      <c r="B15" s="55" t="s">
        <v>17</v>
      </c>
      <c r="C15" s="56">
        <v>1</v>
      </c>
      <c r="D15" s="57" t="s">
        <v>14</v>
      </c>
      <c r="E15" s="19">
        <f>+'Presupuesto Base 1'!E15</f>
        <v>25000</v>
      </c>
      <c r="F15" s="20">
        <f t="shared" si="0"/>
        <v>25000</v>
      </c>
    </row>
    <row r="16" spans="1:6" x14ac:dyDescent="0.25">
      <c r="A16" s="50"/>
      <c r="B16" s="51"/>
      <c r="C16" s="52"/>
      <c r="D16" s="53"/>
      <c r="E16" s="19"/>
      <c r="F16" s="20"/>
    </row>
    <row r="17" spans="1:6" x14ac:dyDescent="0.25">
      <c r="A17" s="50">
        <v>2</v>
      </c>
      <c r="B17" s="58" t="s">
        <v>18</v>
      </c>
      <c r="C17" s="59"/>
      <c r="D17" s="60"/>
      <c r="E17" s="19"/>
      <c r="F17" s="20"/>
    </row>
    <row r="18" spans="1:6" x14ac:dyDescent="0.25">
      <c r="A18" s="54">
        <v>2.1</v>
      </c>
      <c r="B18" s="61" t="s">
        <v>19</v>
      </c>
      <c r="C18" s="62">
        <v>4</v>
      </c>
      <c r="D18" s="57" t="s">
        <v>16</v>
      </c>
      <c r="E18" s="19">
        <f>+'Presupuesto Base 1'!E18</f>
        <v>769.43209999999999</v>
      </c>
      <c r="F18" s="20">
        <f t="shared" si="0"/>
        <v>3077.7284</v>
      </c>
    </row>
    <row r="19" spans="1:6" x14ac:dyDescent="0.25">
      <c r="A19" s="50"/>
      <c r="B19" s="61"/>
      <c r="C19" s="62"/>
      <c r="D19" s="57"/>
      <c r="E19" s="19"/>
      <c r="F19" s="20"/>
    </row>
    <row r="20" spans="1:6" x14ac:dyDescent="0.25">
      <c r="A20" s="50">
        <v>3</v>
      </c>
      <c r="B20" s="63" t="s">
        <v>20</v>
      </c>
      <c r="C20" s="62"/>
      <c r="D20" s="57"/>
      <c r="E20" s="19"/>
      <c r="F20" s="20"/>
    </row>
    <row r="21" spans="1:6" x14ac:dyDescent="0.25">
      <c r="A21" s="54">
        <v>3.1</v>
      </c>
      <c r="B21" s="61" t="s">
        <v>21</v>
      </c>
      <c r="C21" s="62">
        <v>4</v>
      </c>
      <c r="D21" s="57" t="s">
        <v>16</v>
      </c>
      <c r="E21" s="19">
        <f>+'Presupuesto Base 1'!E21</f>
        <v>2100</v>
      </c>
      <c r="F21" s="20">
        <f t="shared" si="0"/>
        <v>8400</v>
      </c>
    </row>
    <row r="22" spans="1:6" x14ac:dyDescent="0.25">
      <c r="A22" s="54">
        <v>3.2</v>
      </c>
      <c r="B22" s="61" t="s">
        <v>22</v>
      </c>
      <c r="C22" s="62">
        <v>4</v>
      </c>
      <c r="D22" s="57" t="s">
        <v>16</v>
      </c>
      <c r="E22" s="19">
        <f>+'Presupuesto Base 1'!E22</f>
        <v>1694</v>
      </c>
      <c r="F22" s="20">
        <f t="shared" si="0"/>
        <v>6776</v>
      </c>
    </row>
    <row r="23" spans="1:6" x14ac:dyDescent="0.25">
      <c r="A23" s="50"/>
      <c r="B23" s="61"/>
      <c r="C23" s="62"/>
      <c r="D23" s="57"/>
      <c r="E23" s="19"/>
      <c r="F23" s="20"/>
    </row>
    <row r="24" spans="1:6" ht="26.4" x14ac:dyDescent="0.25">
      <c r="A24" s="64">
        <v>4</v>
      </c>
      <c r="B24" s="65" t="s">
        <v>23</v>
      </c>
      <c r="C24" s="66">
        <v>1</v>
      </c>
      <c r="D24" s="57" t="s">
        <v>24</v>
      </c>
      <c r="E24" s="19"/>
      <c r="F24" s="20"/>
    </row>
    <row r="25" spans="1:6" x14ac:dyDescent="0.25">
      <c r="A25" s="67">
        <v>4.0999999999999996</v>
      </c>
      <c r="B25" s="61" t="s">
        <v>25</v>
      </c>
      <c r="C25" s="68">
        <v>1</v>
      </c>
      <c r="D25" s="57" t="s">
        <v>24</v>
      </c>
      <c r="E25" s="19">
        <f>+'Presupuesto Base 1'!E25</f>
        <v>12937.6</v>
      </c>
      <c r="F25" s="20">
        <f t="shared" si="0"/>
        <v>12937.6</v>
      </c>
    </row>
    <row r="26" spans="1:6" x14ac:dyDescent="0.25">
      <c r="A26" s="67">
        <v>4.2</v>
      </c>
      <c r="B26" s="61" t="s">
        <v>26</v>
      </c>
      <c r="C26" s="69">
        <v>1</v>
      </c>
      <c r="D26" s="57" t="s">
        <v>24</v>
      </c>
      <c r="E26" s="19">
        <f>+'Presupuesto Base 1'!E26</f>
        <v>9081.0499999999993</v>
      </c>
      <c r="F26" s="20">
        <f t="shared" si="0"/>
        <v>9081.0499999999993</v>
      </c>
    </row>
    <row r="27" spans="1:6" x14ac:dyDescent="0.25">
      <c r="A27" s="67">
        <v>4.3</v>
      </c>
      <c r="B27" s="61" t="s">
        <v>27</v>
      </c>
      <c r="C27" s="69">
        <v>1</v>
      </c>
      <c r="D27" s="57" t="s">
        <v>24</v>
      </c>
      <c r="E27" s="19">
        <f>+'Presupuesto Base 1'!E27</f>
        <v>6718.6940000000004</v>
      </c>
      <c r="F27" s="20">
        <f t="shared" si="0"/>
        <v>6718.6940000000004</v>
      </c>
    </row>
    <row r="28" spans="1:6" x14ac:dyDescent="0.25">
      <c r="A28" s="67">
        <v>4.4000000000000004</v>
      </c>
      <c r="B28" s="70" t="s">
        <v>28</v>
      </c>
      <c r="C28" s="66">
        <v>1</v>
      </c>
      <c r="D28" s="57" t="s">
        <v>24</v>
      </c>
      <c r="E28" s="19">
        <f>+'Presupuesto Base 1'!E28</f>
        <v>7899.8739999999998</v>
      </c>
      <c r="F28" s="20">
        <f t="shared" si="0"/>
        <v>7899.8739999999998</v>
      </c>
    </row>
    <row r="29" spans="1:6" x14ac:dyDescent="0.25">
      <c r="A29" s="67">
        <v>4.5</v>
      </c>
      <c r="B29" s="61" t="s">
        <v>29</v>
      </c>
      <c r="C29" s="69">
        <v>2</v>
      </c>
      <c r="D29" s="57" t="s">
        <v>24</v>
      </c>
      <c r="E29" s="19">
        <f>+'Presupuesto Base 1'!E29</f>
        <v>7500</v>
      </c>
      <c r="F29" s="20">
        <f t="shared" si="0"/>
        <v>15000</v>
      </c>
    </row>
    <row r="30" spans="1:6" x14ac:dyDescent="0.25">
      <c r="A30" s="67">
        <v>4.5999999999999996</v>
      </c>
      <c r="B30" s="61" t="s">
        <v>30</v>
      </c>
      <c r="C30" s="69">
        <v>3</v>
      </c>
      <c r="D30" s="57" t="s">
        <v>24</v>
      </c>
      <c r="E30" s="19">
        <f>+'Presupuesto Base 1'!E30</f>
        <v>6500</v>
      </c>
      <c r="F30" s="20">
        <f t="shared" si="0"/>
        <v>19500</v>
      </c>
    </row>
    <row r="31" spans="1:6" x14ac:dyDescent="0.25">
      <c r="A31" s="67">
        <v>4.7</v>
      </c>
      <c r="B31" s="61" t="s">
        <v>31</v>
      </c>
      <c r="C31" s="69">
        <v>1</v>
      </c>
      <c r="D31" s="57" t="s">
        <v>24</v>
      </c>
      <c r="E31" s="19">
        <f>+'Presupuesto Base 1'!E31</f>
        <v>5500</v>
      </c>
      <c r="F31" s="20">
        <f t="shared" si="0"/>
        <v>5500</v>
      </c>
    </row>
    <row r="32" spans="1:6" x14ac:dyDescent="0.25">
      <c r="A32" s="67">
        <v>4.8</v>
      </c>
      <c r="B32" s="61" t="s">
        <v>32</v>
      </c>
      <c r="C32" s="69">
        <v>3</v>
      </c>
      <c r="D32" s="57" t="s">
        <v>24</v>
      </c>
      <c r="E32" s="19">
        <f>+'Presupuesto Base 1'!E32</f>
        <v>8750</v>
      </c>
      <c r="F32" s="20">
        <f t="shared" si="0"/>
        <v>26250</v>
      </c>
    </row>
    <row r="33" spans="1:6" x14ac:dyDescent="0.25">
      <c r="A33" s="67"/>
      <c r="B33" s="61"/>
      <c r="C33" s="69"/>
      <c r="D33" s="57"/>
      <c r="E33" s="19"/>
      <c r="F33" s="20"/>
    </row>
    <row r="34" spans="1:6" ht="26.4" x14ac:dyDescent="0.25">
      <c r="A34" s="71">
        <v>5</v>
      </c>
      <c r="B34" s="72" t="s">
        <v>33</v>
      </c>
      <c r="C34" s="69">
        <v>1</v>
      </c>
      <c r="D34" s="57" t="s">
        <v>24</v>
      </c>
      <c r="E34" s="19">
        <f>+'Presupuesto Base 1'!E34</f>
        <v>25000</v>
      </c>
      <c r="F34" s="20">
        <f t="shared" si="0"/>
        <v>25000</v>
      </c>
    </row>
    <row r="35" spans="1:6" x14ac:dyDescent="0.25">
      <c r="A35" s="71"/>
      <c r="B35" s="61"/>
      <c r="C35" s="69"/>
      <c r="D35" s="57"/>
      <c r="E35" s="19"/>
      <c r="F35" s="20"/>
    </row>
    <row r="36" spans="1:6" x14ac:dyDescent="0.25">
      <c r="A36" s="71">
        <v>6</v>
      </c>
      <c r="B36" s="61" t="s">
        <v>34</v>
      </c>
      <c r="C36" s="69">
        <v>1</v>
      </c>
      <c r="D36" s="57" t="s">
        <v>14</v>
      </c>
      <c r="E36" s="19">
        <f>+'Presupuesto Base 1'!E36</f>
        <v>32000</v>
      </c>
      <c r="F36" s="20">
        <f t="shared" si="0"/>
        <v>32000</v>
      </c>
    </row>
    <row r="37" spans="1:6" x14ac:dyDescent="0.25">
      <c r="A37" s="71"/>
      <c r="B37" s="61"/>
      <c r="C37" s="69"/>
      <c r="D37" s="57"/>
      <c r="E37" s="19"/>
      <c r="F37" s="20"/>
    </row>
    <row r="38" spans="1:6" x14ac:dyDescent="0.25">
      <c r="A38" s="71">
        <v>7</v>
      </c>
      <c r="B38" s="61" t="s">
        <v>35</v>
      </c>
      <c r="C38" s="69">
        <v>1</v>
      </c>
      <c r="D38" s="57" t="s">
        <v>24</v>
      </c>
      <c r="E38" s="19">
        <f>+'Presupuesto Base 1'!E38</f>
        <v>25000</v>
      </c>
      <c r="F38" s="20">
        <f t="shared" si="0"/>
        <v>25000</v>
      </c>
    </row>
    <row r="39" spans="1:6" x14ac:dyDescent="0.25">
      <c r="A39" s="73"/>
      <c r="B39" s="73" t="s">
        <v>36</v>
      </c>
      <c r="C39" s="74"/>
      <c r="D39" s="75"/>
      <c r="E39" s="22"/>
      <c r="F39" s="22">
        <f>SUM(F13:F38)</f>
        <v>255028.34640000001</v>
      </c>
    </row>
    <row r="40" spans="1:6" x14ac:dyDescent="0.25">
      <c r="A40" s="76"/>
      <c r="B40" s="76"/>
      <c r="C40" s="66"/>
      <c r="D40" s="49"/>
      <c r="E40" s="19"/>
      <c r="F40" s="20"/>
    </row>
    <row r="41" spans="1:6" x14ac:dyDescent="0.25">
      <c r="A41" s="77" t="s">
        <v>37</v>
      </c>
      <c r="B41" s="78" t="s">
        <v>38</v>
      </c>
      <c r="C41" s="66"/>
      <c r="D41" s="49"/>
      <c r="E41" s="19"/>
      <c r="F41" s="20"/>
    </row>
    <row r="42" spans="1:6" x14ac:dyDescent="0.25">
      <c r="A42" s="76"/>
      <c r="B42" s="76"/>
      <c r="C42" s="66"/>
      <c r="D42" s="49"/>
      <c r="E42" s="19"/>
      <c r="F42" s="20"/>
    </row>
    <row r="43" spans="1:6" x14ac:dyDescent="0.25">
      <c r="A43" s="79">
        <v>1</v>
      </c>
      <c r="B43" s="80" t="s">
        <v>39</v>
      </c>
      <c r="C43" s="66">
        <v>21027</v>
      </c>
      <c r="D43" s="81" t="s">
        <v>40</v>
      </c>
      <c r="E43" s="19">
        <f>+'Analisis presupuesto base'!H106</f>
        <v>41.064</v>
      </c>
      <c r="F43" s="20">
        <v>863452.73</v>
      </c>
    </row>
    <row r="44" spans="1:6" x14ac:dyDescent="0.25">
      <c r="A44" s="82"/>
      <c r="B44" s="76"/>
      <c r="C44" s="66"/>
      <c r="D44" s="81"/>
      <c r="E44" s="19"/>
      <c r="F44" s="20"/>
    </row>
    <row r="45" spans="1:6" x14ac:dyDescent="0.25">
      <c r="A45" s="83">
        <v>2</v>
      </c>
      <c r="B45" s="84" t="s">
        <v>41</v>
      </c>
      <c r="C45" s="66"/>
      <c r="D45" s="85"/>
      <c r="E45" s="19"/>
      <c r="F45" s="20"/>
    </row>
    <row r="46" spans="1:6" x14ac:dyDescent="0.25">
      <c r="A46" s="86">
        <v>2.1</v>
      </c>
      <c r="B46" s="87" t="s">
        <v>42</v>
      </c>
      <c r="C46" s="56">
        <v>27648</v>
      </c>
      <c r="D46" s="81" t="s">
        <v>40</v>
      </c>
      <c r="E46" s="19">
        <v>33.71</v>
      </c>
      <c r="F46" s="20">
        <v>931895.59</v>
      </c>
    </row>
    <row r="47" spans="1:6" ht="13.8" x14ac:dyDescent="0.25">
      <c r="A47" s="54">
        <v>2.2000000000000002</v>
      </c>
      <c r="B47" s="87" t="s">
        <v>43</v>
      </c>
      <c r="C47" s="56">
        <v>10368</v>
      </c>
      <c r="D47" s="57" t="s">
        <v>44</v>
      </c>
      <c r="E47" s="19">
        <f>+'Analisis presupuesto base'!H129</f>
        <v>39.742666666666665</v>
      </c>
      <c r="F47" s="20">
        <f>+E47*C47</f>
        <v>412051.96799999999</v>
      </c>
    </row>
    <row r="48" spans="1:6" ht="13.8" x14ac:dyDescent="0.25">
      <c r="A48" s="86">
        <v>2.2999999999999998</v>
      </c>
      <c r="B48" s="87" t="s">
        <v>45</v>
      </c>
      <c r="C48" s="56">
        <v>673.92</v>
      </c>
      <c r="D48" s="57" t="s">
        <v>46</v>
      </c>
      <c r="E48" s="19">
        <f>+'Analisis presupuesto base'!H139</f>
        <v>168.85036470588236</v>
      </c>
      <c r="F48" s="20">
        <v>113791.64</v>
      </c>
    </row>
    <row r="49" spans="1:6" x14ac:dyDescent="0.25">
      <c r="A49" s="78"/>
      <c r="B49" s="88"/>
      <c r="C49" s="66"/>
      <c r="D49" s="85"/>
      <c r="E49" s="19"/>
      <c r="F49" s="20"/>
    </row>
    <row r="50" spans="1:6" x14ac:dyDescent="0.25">
      <c r="A50" s="89">
        <v>3</v>
      </c>
      <c r="B50" s="89" t="s">
        <v>47</v>
      </c>
      <c r="C50" s="90"/>
      <c r="D50" s="91"/>
      <c r="E50" s="23"/>
      <c r="F50" s="20"/>
    </row>
    <row r="51" spans="1:6" ht="15.6" x14ac:dyDescent="0.25">
      <c r="A51" s="78">
        <v>3.1</v>
      </c>
      <c r="B51" s="63" t="s">
        <v>48</v>
      </c>
      <c r="C51" s="66"/>
      <c r="D51" s="85"/>
      <c r="E51" s="19"/>
      <c r="F51" s="20"/>
    </row>
    <row r="52" spans="1:6" s="488" customFormat="1" ht="13.8" x14ac:dyDescent="0.25">
      <c r="A52" s="482" t="s">
        <v>49</v>
      </c>
      <c r="B52" s="483" t="s">
        <v>50</v>
      </c>
      <c r="C52" s="484">
        <v>11203.06</v>
      </c>
      <c r="D52" s="485" t="s">
        <v>46</v>
      </c>
      <c r="E52" s="486">
        <f>+'Analisis presupuesto base'!H152</f>
        <v>82.20488499999999</v>
      </c>
      <c r="F52" s="487">
        <v>920946.26</v>
      </c>
    </row>
    <row r="53" spans="1:6" s="488" customFormat="1" ht="13.8" x14ac:dyDescent="0.25">
      <c r="A53" s="482" t="s">
        <v>51</v>
      </c>
      <c r="B53" s="483" t="s">
        <v>52</v>
      </c>
      <c r="C53" s="484">
        <v>4801.3100000000004</v>
      </c>
      <c r="D53" s="485" t="s">
        <v>46</v>
      </c>
      <c r="E53" s="486">
        <f>+'Analisis presupuesto base'!H155</f>
        <v>466.69285714285712</v>
      </c>
      <c r="F53" s="487">
        <v>2240737.08</v>
      </c>
    </row>
    <row r="54" spans="1:6" ht="13.8" x14ac:dyDescent="0.25">
      <c r="A54" s="92" t="s">
        <v>53</v>
      </c>
      <c r="B54" s="87" t="s">
        <v>54</v>
      </c>
      <c r="C54" s="66">
        <v>15770.25</v>
      </c>
      <c r="D54" s="57" t="s">
        <v>44</v>
      </c>
      <c r="E54" s="24">
        <v>75</v>
      </c>
      <c r="F54" s="20">
        <f t="shared" si="0"/>
        <v>1182768.75</v>
      </c>
    </row>
    <row r="55" spans="1:6" ht="13.8" x14ac:dyDescent="0.25">
      <c r="A55" s="92" t="s">
        <v>55</v>
      </c>
      <c r="B55" s="93" t="s">
        <v>56</v>
      </c>
      <c r="C55" s="66">
        <v>1293.6199999999999</v>
      </c>
      <c r="D55" s="57" t="s">
        <v>46</v>
      </c>
      <c r="E55" s="19">
        <v>800</v>
      </c>
      <c r="F55" s="20">
        <f t="shared" si="0"/>
        <v>1034895.9999999999</v>
      </c>
    </row>
    <row r="56" spans="1:6" ht="13.8" x14ac:dyDescent="0.25">
      <c r="A56" s="92" t="s">
        <v>57</v>
      </c>
      <c r="B56" s="61" t="s">
        <v>58</v>
      </c>
      <c r="C56" s="94">
        <v>5761.57</v>
      </c>
      <c r="D56" s="57" t="s">
        <v>46</v>
      </c>
      <c r="E56" s="25">
        <f>+'Analisis presupuesto base'!H180</f>
        <v>580.94114000000002</v>
      </c>
      <c r="F56" s="20">
        <v>3347133.04</v>
      </c>
    </row>
    <row r="57" spans="1:6" ht="26.4" x14ac:dyDescent="0.25">
      <c r="A57" s="92" t="s">
        <v>59</v>
      </c>
      <c r="B57" s="72" t="s">
        <v>60</v>
      </c>
      <c r="C57" s="95">
        <v>13808.54</v>
      </c>
      <c r="D57" s="96" t="s">
        <v>61</v>
      </c>
      <c r="E57" s="26">
        <f>+'Analisis presupuesto base'!H197</f>
        <v>226.03051432000004</v>
      </c>
      <c r="F57" s="20">
        <v>3121151.4</v>
      </c>
    </row>
    <row r="58" spans="1:6" ht="26.4" x14ac:dyDescent="0.25">
      <c r="A58" s="92" t="s">
        <v>62</v>
      </c>
      <c r="B58" s="72" t="s">
        <v>63</v>
      </c>
      <c r="C58" s="97">
        <v>8876.7000000000007</v>
      </c>
      <c r="D58" s="98" t="s">
        <v>46</v>
      </c>
      <c r="E58" s="26">
        <f>+'Analisis presupuesto base'!H207</f>
        <v>223.970844</v>
      </c>
      <c r="F58" s="20">
        <v>1988121.99</v>
      </c>
    </row>
    <row r="59" spans="1:6" x14ac:dyDescent="0.25">
      <c r="A59" s="99"/>
      <c r="B59" s="76"/>
      <c r="C59" s="100"/>
      <c r="D59" s="81"/>
      <c r="E59" s="17"/>
      <c r="F59" s="20"/>
    </row>
    <row r="60" spans="1:6" x14ac:dyDescent="0.25">
      <c r="A60" s="99"/>
      <c r="B60" s="76"/>
      <c r="C60" s="100"/>
      <c r="D60" s="81"/>
      <c r="E60" s="17"/>
      <c r="F60" s="20"/>
    </row>
    <row r="61" spans="1:6" x14ac:dyDescent="0.25">
      <c r="A61" s="101">
        <v>4</v>
      </c>
      <c r="B61" s="80" t="s">
        <v>64</v>
      </c>
      <c r="C61" s="100"/>
      <c r="D61" s="81"/>
      <c r="E61" s="17"/>
      <c r="F61" s="20"/>
    </row>
    <row r="62" spans="1:6" x14ac:dyDescent="0.25">
      <c r="A62" s="102">
        <v>4.0999999999999996</v>
      </c>
      <c r="B62" s="103" t="s">
        <v>65</v>
      </c>
      <c r="C62" s="66">
        <v>1339</v>
      </c>
      <c r="D62" s="81" t="s">
        <v>40</v>
      </c>
      <c r="E62" s="25">
        <f>+'Analisis presupuesto base'!H214</f>
        <v>1576.6975500000001</v>
      </c>
      <c r="F62" s="20">
        <v>2111198.02</v>
      </c>
    </row>
    <row r="63" spans="1:6" x14ac:dyDescent="0.25">
      <c r="A63" s="102">
        <v>4.2</v>
      </c>
      <c r="B63" s="103" t="s">
        <v>66</v>
      </c>
      <c r="C63" s="66">
        <v>1287.5</v>
      </c>
      <c r="D63" s="81" t="s">
        <v>40</v>
      </c>
      <c r="E63" s="19">
        <v>1490</v>
      </c>
      <c r="F63" s="20">
        <v>1918375</v>
      </c>
    </row>
    <row r="64" spans="1:6" x14ac:dyDescent="0.25">
      <c r="A64" s="102">
        <v>4.3</v>
      </c>
      <c r="B64" s="103" t="s">
        <v>67</v>
      </c>
      <c r="C64" s="66">
        <v>7456.2</v>
      </c>
      <c r="D64" s="81" t="s">
        <v>40</v>
      </c>
      <c r="E64" s="19">
        <v>1313</v>
      </c>
      <c r="F64" s="20">
        <f t="shared" si="0"/>
        <v>9789990.5999999996</v>
      </c>
    </row>
    <row r="65" spans="1:6" x14ac:dyDescent="0.25">
      <c r="A65" s="102">
        <v>4.4000000000000004</v>
      </c>
      <c r="B65" s="103" t="s">
        <v>68</v>
      </c>
      <c r="C65" s="66">
        <v>11390.34</v>
      </c>
      <c r="D65" s="81" t="s">
        <v>40</v>
      </c>
      <c r="E65" s="19">
        <v>1189.0999999999999</v>
      </c>
      <c r="F65" s="20">
        <f t="shared" si="0"/>
        <v>13544253.294</v>
      </c>
    </row>
    <row r="66" spans="1:6" x14ac:dyDescent="0.25">
      <c r="A66" s="104"/>
      <c r="B66" s="76"/>
      <c r="C66" s="66"/>
      <c r="D66" s="81"/>
      <c r="E66" s="19"/>
      <c r="F66" s="20"/>
    </row>
    <row r="67" spans="1:6" x14ac:dyDescent="0.25">
      <c r="A67" s="101">
        <v>5</v>
      </c>
      <c r="B67" s="80" t="s">
        <v>69</v>
      </c>
      <c r="C67" s="66"/>
      <c r="D67" s="81"/>
      <c r="E67" s="19"/>
      <c r="F67" s="20"/>
    </row>
    <row r="68" spans="1:6" x14ac:dyDescent="0.25">
      <c r="A68" s="102">
        <v>5.0999999999999996</v>
      </c>
      <c r="B68" s="103" t="s">
        <v>70</v>
      </c>
      <c r="C68" s="66">
        <v>1300</v>
      </c>
      <c r="D68" s="81" t="s">
        <v>40</v>
      </c>
      <c r="E68" s="19">
        <v>75</v>
      </c>
      <c r="F68" s="20">
        <f t="shared" si="0"/>
        <v>97500</v>
      </c>
    </row>
    <row r="69" spans="1:6" x14ac:dyDescent="0.25">
      <c r="A69" s="102">
        <v>5.2</v>
      </c>
      <c r="B69" s="103" t="s">
        <v>71</v>
      </c>
      <c r="C69" s="66">
        <v>1250</v>
      </c>
      <c r="D69" s="81" t="s">
        <v>40</v>
      </c>
      <c r="E69" s="19">
        <v>70.61</v>
      </c>
      <c r="F69" s="20">
        <f t="shared" si="0"/>
        <v>88262.5</v>
      </c>
    </row>
    <row r="70" spans="1:6" x14ac:dyDescent="0.25">
      <c r="A70" s="102">
        <v>5.3</v>
      </c>
      <c r="B70" s="103" t="s">
        <v>72</v>
      </c>
      <c r="C70" s="66">
        <v>7310</v>
      </c>
      <c r="D70" s="81" t="s">
        <v>40</v>
      </c>
      <c r="E70" s="19">
        <v>63</v>
      </c>
      <c r="F70" s="20">
        <f t="shared" si="0"/>
        <v>460530</v>
      </c>
    </row>
    <row r="71" spans="1:6" x14ac:dyDescent="0.25">
      <c r="A71" s="102">
        <v>5.4</v>
      </c>
      <c r="B71" s="103" t="s">
        <v>73</v>
      </c>
      <c r="C71" s="66">
        <v>11167</v>
      </c>
      <c r="D71" s="81" t="s">
        <v>40</v>
      </c>
      <c r="E71" s="19">
        <v>55</v>
      </c>
      <c r="F71" s="20">
        <f t="shared" si="0"/>
        <v>614185</v>
      </c>
    </row>
    <row r="72" spans="1:6" x14ac:dyDescent="0.25">
      <c r="A72" s="102"/>
      <c r="B72" s="103"/>
      <c r="C72" s="66"/>
      <c r="D72" s="81"/>
      <c r="E72" s="19"/>
      <c r="F72" s="20"/>
    </row>
    <row r="73" spans="1:6" x14ac:dyDescent="0.25">
      <c r="A73" s="105">
        <v>6</v>
      </c>
      <c r="B73" s="63" t="s">
        <v>74</v>
      </c>
      <c r="C73" s="66"/>
      <c r="D73" s="81"/>
      <c r="E73" s="19"/>
      <c r="F73" s="20"/>
    </row>
    <row r="74" spans="1:6" x14ac:dyDescent="0.25">
      <c r="A74" s="102">
        <v>6.1</v>
      </c>
      <c r="B74" s="103" t="s">
        <v>70</v>
      </c>
      <c r="C74" s="66">
        <v>1300</v>
      </c>
      <c r="D74" s="81" t="s">
        <v>40</v>
      </c>
      <c r="E74" s="19">
        <v>35</v>
      </c>
      <c r="F74" s="20">
        <f t="shared" si="0"/>
        <v>45500</v>
      </c>
    </row>
    <row r="75" spans="1:6" x14ac:dyDescent="0.25">
      <c r="A75" s="102">
        <v>6.2</v>
      </c>
      <c r="B75" s="103" t="s">
        <v>71</v>
      </c>
      <c r="C75" s="66">
        <v>1250</v>
      </c>
      <c r="D75" s="81" t="s">
        <v>40</v>
      </c>
      <c r="E75" s="19">
        <v>30</v>
      </c>
      <c r="F75" s="20">
        <f t="shared" si="0"/>
        <v>37500</v>
      </c>
    </row>
    <row r="76" spans="1:6" x14ac:dyDescent="0.25">
      <c r="A76" s="102">
        <v>6.3</v>
      </c>
      <c r="B76" s="103" t="s">
        <v>72</v>
      </c>
      <c r="C76" s="66">
        <v>7310</v>
      </c>
      <c r="D76" s="81" t="s">
        <v>40</v>
      </c>
      <c r="E76" s="19">
        <v>25</v>
      </c>
      <c r="F76" s="20">
        <f t="shared" si="0"/>
        <v>182750</v>
      </c>
    </row>
    <row r="77" spans="1:6" x14ac:dyDescent="0.25">
      <c r="A77" s="102">
        <v>6.4</v>
      </c>
      <c r="B77" s="103" t="s">
        <v>73</v>
      </c>
      <c r="C77" s="66">
        <v>11167</v>
      </c>
      <c r="D77" s="81" t="s">
        <v>40</v>
      </c>
      <c r="E77" s="19">
        <v>20</v>
      </c>
      <c r="F77" s="20">
        <f t="shared" si="0"/>
        <v>223340</v>
      </c>
    </row>
    <row r="78" spans="1:6" x14ac:dyDescent="0.25">
      <c r="A78" s="102"/>
      <c r="B78" s="103"/>
      <c r="C78" s="66"/>
      <c r="D78" s="81"/>
      <c r="E78" s="19"/>
      <c r="F78" s="20"/>
    </row>
    <row r="79" spans="1:6" x14ac:dyDescent="0.25">
      <c r="A79" s="106">
        <v>7</v>
      </c>
      <c r="B79" s="65" t="s">
        <v>75</v>
      </c>
      <c r="C79" s="66"/>
      <c r="D79" s="81"/>
      <c r="E79" s="27"/>
      <c r="F79" s="20"/>
    </row>
    <row r="80" spans="1:6" x14ac:dyDescent="0.25">
      <c r="A80" s="106">
        <v>7.1</v>
      </c>
      <c r="B80" s="65" t="s">
        <v>76</v>
      </c>
      <c r="C80" s="66"/>
      <c r="D80" s="81"/>
      <c r="E80" s="27"/>
      <c r="F80" s="20"/>
    </row>
    <row r="81" spans="1:6" x14ac:dyDescent="0.25">
      <c r="A81" s="107" t="s">
        <v>77</v>
      </c>
      <c r="B81" s="61" t="s">
        <v>78</v>
      </c>
      <c r="C81" s="69">
        <v>1</v>
      </c>
      <c r="D81" s="57" t="s">
        <v>24</v>
      </c>
      <c r="E81" s="24">
        <v>5537.51</v>
      </c>
      <c r="F81" s="20">
        <f t="shared" ref="F81:F139" si="1">+E81*C81</f>
        <v>5537.51</v>
      </c>
    </row>
    <row r="82" spans="1:6" x14ac:dyDescent="0.25">
      <c r="A82" s="107" t="s">
        <v>79</v>
      </c>
      <c r="B82" s="61" t="s">
        <v>80</v>
      </c>
      <c r="C82" s="69">
        <v>1</v>
      </c>
      <c r="D82" s="57" t="s">
        <v>24</v>
      </c>
      <c r="E82" s="24">
        <v>5537.51</v>
      </c>
      <c r="F82" s="20">
        <f t="shared" si="1"/>
        <v>5537.51</v>
      </c>
    </row>
    <row r="83" spans="1:6" x14ac:dyDescent="0.25">
      <c r="A83" s="107" t="s">
        <v>81</v>
      </c>
      <c r="B83" s="61" t="s">
        <v>82</v>
      </c>
      <c r="C83" s="69">
        <v>3</v>
      </c>
      <c r="D83" s="57" t="s">
        <v>24</v>
      </c>
      <c r="E83" s="24">
        <v>5537.51</v>
      </c>
      <c r="F83" s="20">
        <f t="shared" si="1"/>
        <v>16612.53</v>
      </c>
    </row>
    <row r="84" spans="1:6" x14ac:dyDescent="0.25">
      <c r="A84" s="107" t="s">
        <v>83</v>
      </c>
      <c r="B84" s="61" t="s">
        <v>26</v>
      </c>
      <c r="C84" s="69">
        <v>5</v>
      </c>
      <c r="D84" s="57" t="s">
        <v>24</v>
      </c>
      <c r="E84" s="24">
        <v>5537.51</v>
      </c>
      <c r="F84" s="20">
        <f t="shared" si="1"/>
        <v>27687.550000000003</v>
      </c>
    </row>
    <row r="85" spans="1:6" x14ac:dyDescent="0.25">
      <c r="A85" s="107" t="s">
        <v>84</v>
      </c>
      <c r="B85" s="61" t="s">
        <v>85</v>
      </c>
      <c r="C85" s="69">
        <v>2</v>
      </c>
      <c r="D85" s="57" t="s">
        <v>24</v>
      </c>
      <c r="E85" s="24">
        <v>5537.51</v>
      </c>
      <c r="F85" s="20">
        <f t="shared" si="1"/>
        <v>11075.02</v>
      </c>
    </row>
    <row r="86" spans="1:6" x14ac:dyDescent="0.25">
      <c r="A86" s="107" t="s">
        <v>86</v>
      </c>
      <c r="B86" s="61" t="s">
        <v>87</v>
      </c>
      <c r="C86" s="69">
        <v>2</v>
      </c>
      <c r="D86" s="57" t="s">
        <v>24</v>
      </c>
      <c r="E86" s="24">
        <v>5537.51</v>
      </c>
      <c r="F86" s="20">
        <f t="shared" si="1"/>
        <v>11075.02</v>
      </c>
    </row>
    <row r="87" spans="1:6" x14ac:dyDescent="0.25">
      <c r="A87" s="107" t="s">
        <v>88</v>
      </c>
      <c r="B87" s="61" t="s">
        <v>89</v>
      </c>
      <c r="C87" s="69">
        <v>2</v>
      </c>
      <c r="D87" s="57" t="s">
        <v>24</v>
      </c>
      <c r="E87" s="24">
        <v>5537.51</v>
      </c>
      <c r="F87" s="20">
        <f t="shared" si="1"/>
        <v>11075.02</v>
      </c>
    </row>
    <row r="88" spans="1:6" x14ac:dyDescent="0.25">
      <c r="A88" s="107" t="s">
        <v>90</v>
      </c>
      <c r="B88" s="61" t="s">
        <v>91</v>
      </c>
      <c r="C88" s="66">
        <v>1</v>
      </c>
      <c r="D88" s="57" t="s">
        <v>24</v>
      </c>
      <c r="E88" s="24">
        <v>5537.51</v>
      </c>
      <c r="F88" s="20">
        <f t="shared" si="1"/>
        <v>5537.51</v>
      </c>
    </row>
    <row r="89" spans="1:6" x14ac:dyDescent="0.25">
      <c r="A89" s="107" t="s">
        <v>92</v>
      </c>
      <c r="B89" s="61" t="s">
        <v>93</v>
      </c>
      <c r="C89" s="66">
        <v>5</v>
      </c>
      <c r="D89" s="57" t="s">
        <v>24</v>
      </c>
      <c r="E89" s="24">
        <v>5537.51</v>
      </c>
      <c r="F89" s="20">
        <f t="shared" si="1"/>
        <v>27687.550000000003</v>
      </c>
    </row>
    <row r="90" spans="1:6" x14ac:dyDescent="0.25">
      <c r="A90" s="107" t="s">
        <v>94</v>
      </c>
      <c r="B90" s="61" t="s">
        <v>95</v>
      </c>
      <c r="C90" s="66">
        <v>1</v>
      </c>
      <c r="D90" s="57" t="s">
        <v>24</v>
      </c>
      <c r="E90" s="24">
        <v>5537.51</v>
      </c>
      <c r="F90" s="20">
        <f t="shared" si="1"/>
        <v>5537.51</v>
      </c>
    </row>
    <row r="91" spans="1:6" x14ac:dyDescent="0.25">
      <c r="A91" s="107" t="s">
        <v>96</v>
      </c>
      <c r="B91" s="61" t="s">
        <v>97</v>
      </c>
      <c r="C91" s="66">
        <v>1</v>
      </c>
      <c r="D91" s="57" t="s">
        <v>24</v>
      </c>
      <c r="E91" s="24">
        <v>5537.51</v>
      </c>
      <c r="F91" s="20">
        <f t="shared" si="1"/>
        <v>5537.51</v>
      </c>
    </row>
    <row r="92" spans="1:6" x14ac:dyDescent="0.25">
      <c r="A92" s="107" t="s">
        <v>98</v>
      </c>
      <c r="B92" s="61" t="s">
        <v>99</v>
      </c>
      <c r="C92" s="66">
        <v>1</v>
      </c>
      <c r="D92" s="57" t="s">
        <v>24</v>
      </c>
      <c r="E92" s="24">
        <v>5537.51</v>
      </c>
      <c r="F92" s="20">
        <f t="shared" si="1"/>
        <v>5537.51</v>
      </c>
    </row>
    <row r="93" spans="1:6" x14ac:dyDescent="0.25">
      <c r="A93" s="107" t="s">
        <v>100</v>
      </c>
      <c r="B93" s="61" t="s">
        <v>101</v>
      </c>
      <c r="C93" s="66">
        <v>1</v>
      </c>
      <c r="D93" s="57" t="s">
        <v>24</v>
      </c>
      <c r="E93" s="24">
        <v>5537.51</v>
      </c>
      <c r="F93" s="20">
        <f t="shared" si="1"/>
        <v>5537.51</v>
      </c>
    </row>
    <row r="94" spans="1:6" x14ac:dyDescent="0.25">
      <c r="A94" s="108" t="s">
        <v>102</v>
      </c>
      <c r="B94" s="109" t="s">
        <v>103</v>
      </c>
      <c r="C94" s="90">
        <v>2</v>
      </c>
      <c r="D94" s="110" t="s">
        <v>24</v>
      </c>
      <c r="E94" s="24">
        <v>5537.51</v>
      </c>
      <c r="F94" s="20">
        <f t="shared" si="1"/>
        <v>11075.02</v>
      </c>
    </row>
    <row r="95" spans="1:6" x14ac:dyDescent="0.25">
      <c r="A95" s="107"/>
      <c r="B95" s="61"/>
      <c r="C95" s="69"/>
      <c r="D95" s="57"/>
      <c r="E95" s="24"/>
      <c r="F95" s="20"/>
    </row>
    <row r="96" spans="1:6" x14ac:dyDescent="0.25">
      <c r="A96" s="111">
        <v>7.2</v>
      </c>
      <c r="B96" s="65" t="s">
        <v>104</v>
      </c>
      <c r="C96" s="69"/>
      <c r="D96" s="57"/>
      <c r="E96" s="24"/>
      <c r="F96" s="20"/>
    </row>
    <row r="97" spans="1:6" x14ac:dyDescent="0.25">
      <c r="A97" s="107" t="s">
        <v>105</v>
      </c>
      <c r="B97" s="61" t="s">
        <v>106</v>
      </c>
      <c r="C97" s="69">
        <v>7</v>
      </c>
      <c r="D97" s="57" t="s">
        <v>24</v>
      </c>
      <c r="E97" s="24">
        <v>5537.51</v>
      </c>
      <c r="F97" s="20">
        <f t="shared" si="1"/>
        <v>38762.57</v>
      </c>
    </row>
    <row r="98" spans="1:6" x14ac:dyDescent="0.25">
      <c r="A98" s="107" t="s">
        <v>107</v>
      </c>
      <c r="B98" s="61" t="s">
        <v>108</v>
      </c>
      <c r="C98" s="69">
        <v>3</v>
      </c>
      <c r="D98" s="57" t="s">
        <v>24</v>
      </c>
      <c r="E98" s="24">
        <v>5537.51</v>
      </c>
      <c r="F98" s="20">
        <f t="shared" si="1"/>
        <v>16612.53</v>
      </c>
    </row>
    <row r="99" spans="1:6" x14ac:dyDescent="0.25">
      <c r="A99" s="107" t="s">
        <v>109</v>
      </c>
      <c r="B99" s="61" t="s">
        <v>110</v>
      </c>
      <c r="C99" s="69">
        <v>10</v>
      </c>
      <c r="D99" s="57" t="s">
        <v>24</v>
      </c>
      <c r="E99" s="24">
        <v>5537.51</v>
      </c>
      <c r="F99" s="20">
        <f t="shared" si="1"/>
        <v>55375.100000000006</v>
      </c>
    </row>
    <row r="100" spans="1:6" x14ac:dyDescent="0.25">
      <c r="A100" s="107" t="s">
        <v>111</v>
      </c>
      <c r="B100" s="61" t="s">
        <v>112</v>
      </c>
      <c r="C100" s="69">
        <v>18</v>
      </c>
      <c r="D100" s="57" t="s">
        <v>24</v>
      </c>
      <c r="E100" s="24">
        <v>5537.51</v>
      </c>
      <c r="F100" s="20">
        <f t="shared" si="1"/>
        <v>99675.180000000008</v>
      </c>
    </row>
    <row r="101" spans="1:6" x14ac:dyDescent="0.25">
      <c r="A101" s="107" t="s">
        <v>113</v>
      </c>
      <c r="B101" s="61" t="s">
        <v>114</v>
      </c>
      <c r="C101" s="66">
        <v>35</v>
      </c>
      <c r="D101" s="57" t="s">
        <v>24</v>
      </c>
      <c r="E101" s="24">
        <v>5537.51</v>
      </c>
      <c r="F101" s="20">
        <f t="shared" si="1"/>
        <v>193812.85</v>
      </c>
    </row>
    <row r="102" spans="1:6" x14ac:dyDescent="0.25">
      <c r="A102" s="107" t="s">
        <v>115</v>
      </c>
      <c r="B102" s="61" t="s">
        <v>116</v>
      </c>
      <c r="C102" s="56">
        <v>4</v>
      </c>
      <c r="D102" s="57" t="s">
        <v>24</v>
      </c>
      <c r="E102" s="24">
        <v>5537.51</v>
      </c>
      <c r="F102" s="20">
        <f t="shared" si="1"/>
        <v>22150.04</v>
      </c>
    </row>
    <row r="103" spans="1:6" x14ac:dyDescent="0.25">
      <c r="A103" s="107" t="s">
        <v>117</v>
      </c>
      <c r="B103" s="61" t="s">
        <v>118</v>
      </c>
      <c r="C103" s="56">
        <v>41</v>
      </c>
      <c r="D103" s="57" t="s">
        <v>24</v>
      </c>
      <c r="E103" s="24">
        <v>5537.51</v>
      </c>
      <c r="F103" s="20">
        <f t="shared" si="1"/>
        <v>227037.91</v>
      </c>
    </row>
    <row r="104" spans="1:6" x14ac:dyDescent="0.25">
      <c r="A104" s="107" t="s">
        <v>119</v>
      </c>
      <c r="B104" s="61" t="s">
        <v>120</v>
      </c>
      <c r="C104" s="56">
        <v>44</v>
      </c>
      <c r="D104" s="57" t="s">
        <v>24</v>
      </c>
      <c r="E104" s="24">
        <v>5537.51</v>
      </c>
      <c r="F104" s="20">
        <f t="shared" si="1"/>
        <v>243650.44</v>
      </c>
    </row>
    <row r="105" spans="1:6" x14ac:dyDescent="0.25">
      <c r="A105" s="107" t="s">
        <v>121</v>
      </c>
      <c r="B105" s="61" t="s">
        <v>122</v>
      </c>
      <c r="C105" s="69">
        <v>15</v>
      </c>
      <c r="D105" s="57" t="s">
        <v>24</v>
      </c>
      <c r="E105" s="24">
        <v>5537.51</v>
      </c>
      <c r="F105" s="20">
        <f t="shared" si="1"/>
        <v>83062.650000000009</v>
      </c>
    </row>
    <row r="106" spans="1:6" ht="13.8" x14ac:dyDescent="0.25">
      <c r="A106" s="107" t="s">
        <v>123</v>
      </c>
      <c r="B106" s="61" t="s">
        <v>124</v>
      </c>
      <c r="C106" s="69">
        <v>46</v>
      </c>
      <c r="D106" s="57" t="s">
        <v>24</v>
      </c>
      <c r="E106" s="24">
        <v>1500</v>
      </c>
      <c r="F106" s="20">
        <f t="shared" si="1"/>
        <v>69000</v>
      </c>
    </row>
    <row r="107" spans="1:6" x14ac:dyDescent="0.25">
      <c r="A107" s="107" t="s">
        <v>125</v>
      </c>
      <c r="B107" s="61" t="s">
        <v>126</v>
      </c>
      <c r="C107" s="69">
        <v>510</v>
      </c>
      <c r="D107" s="57" t="s">
        <v>24</v>
      </c>
      <c r="E107" s="24">
        <v>1100</v>
      </c>
      <c r="F107" s="20">
        <f t="shared" si="1"/>
        <v>561000</v>
      </c>
    </row>
    <row r="108" spans="1:6" x14ac:dyDescent="0.25">
      <c r="A108" s="107" t="s">
        <v>127</v>
      </c>
      <c r="B108" s="112" t="s">
        <v>128</v>
      </c>
      <c r="C108" s="69">
        <v>177</v>
      </c>
      <c r="D108" s="57" t="s">
        <v>24</v>
      </c>
      <c r="E108" s="24">
        <v>4500</v>
      </c>
      <c r="F108" s="20">
        <f t="shared" si="1"/>
        <v>796500</v>
      </c>
    </row>
    <row r="109" spans="1:6" x14ac:dyDescent="0.25">
      <c r="A109" s="107" t="s">
        <v>129</v>
      </c>
      <c r="B109" s="61" t="s">
        <v>130</v>
      </c>
      <c r="C109" s="69">
        <v>46</v>
      </c>
      <c r="D109" s="57" t="s">
        <v>24</v>
      </c>
      <c r="E109" s="24">
        <v>2500</v>
      </c>
      <c r="F109" s="20">
        <f t="shared" si="1"/>
        <v>115000</v>
      </c>
    </row>
    <row r="110" spans="1:6" x14ac:dyDescent="0.25">
      <c r="A110" s="113"/>
      <c r="B110" s="114"/>
      <c r="C110" s="115"/>
      <c r="D110" s="81"/>
      <c r="E110" s="27"/>
      <c r="F110" s="20"/>
    </row>
    <row r="111" spans="1:6" x14ac:dyDescent="0.25">
      <c r="A111" s="116">
        <v>8</v>
      </c>
      <c r="B111" s="117" t="s">
        <v>131</v>
      </c>
      <c r="C111" s="69"/>
      <c r="D111" s="57"/>
      <c r="E111" s="24"/>
      <c r="F111" s="20"/>
    </row>
    <row r="112" spans="1:6" x14ac:dyDescent="0.25">
      <c r="A112" s="118">
        <v>8.1</v>
      </c>
      <c r="B112" s="61" t="s">
        <v>132</v>
      </c>
      <c r="C112" s="69">
        <v>27</v>
      </c>
      <c r="D112" s="57" t="s">
        <v>24</v>
      </c>
      <c r="E112" s="24">
        <v>3250</v>
      </c>
      <c r="F112" s="20">
        <f t="shared" si="1"/>
        <v>87750</v>
      </c>
    </row>
    <row r="113" spans="1:6" x14ac:dyDescent="0.25">
      <c r="A113" s="118">
        <v>8.1999999999999993</v>
      </c>
      <c r="B113" s="88" t="s">
        <v>133</v>
      </c>
      <c r="C113" s="69">
        <v>22</v>
      </c>
      <c r="D113" s="57" t="s">
        <v>24</v>
      </c>
      <c r="E113" s="24">
        <v>2100</v>
      </c>
      <c r="F113" s="20">
        <f t="shared" si="1"/>
        <v>46200</v>
      </c>
    </row>
    <row r="114" spans="1:6" x14ac:dyDescent="0.25">
      <c r="A114" s="118">
        <v>8.3000000000000007</v>
      </c>
      <c r="B114" s="88" t="s">
        <v>134</v>
      </c>
      <c r="C114" s="69">
        <v>7</v>
      </c>
      <c r="D114" s="57" t="s">
        <v>24</v>
      </c>
      <c r="E114" s="24">
        <v>1800</v>
      </c>
      <c r="F114" s="20">
        <f t="shared" si="1"/>
        <v>12600</v>
      </c>
    </row>
    <row r="115" spans="1:6" x14ac:dyDescent="0.25">
      <c r="A115" s="118">
        <v>8.4</v>
      </c>
      <c r="B115" s="61" t="s">
        <v>135</v>
      </c>
      <c r="C115" s="69">
        <v>16</v>
      </c>
      <c r="D115" s="57" t="s">
        <v>24</v>
      </c>
      <c r="E115" s="24">
        <v>1500</v>
      </c>
      <c r="F115" s="20">
        <f t="shared" si="1"/>
        <v>24000</v>
      </c>
    </row>
    <row r="116" spans="1:6" x14ac:dyDescent="0.25">
      <c r="A116" s="118"/>
      <c r="B116" s="61"/>
      <c r="C116" s="69"/>
      <c r="D116" s="57"/>
      <c r="E116" s="24"/>
      <c r="F116" s="20"/>
    </row>
    <row r="117" spans="1:6" x14ac:dyDescent="0.25">
      <c r="A117" s="119">
        <v>9</v>
      </c>
      <c r="B117" s="120" t="s">
        <v>136</v>
      </c>
      <c r="C117" s="66"/>
      <c r="D117" s="57"/>
      <c r="E117" s="28"/>
      <c r="F117" s="20"/>
    </row>
    <row r="118" spans="1:6" x14ac:dyDescent="0.25">
      <c r="A118" s="92">
        <v>9.1</v>
      </c>
      <c r="B118" s="121" t="s">
        <v>137</v>
      </c>
      <c r="C118" s="66">
        <v>2</v>
      </c>
      <c r="D118" s="57" t="s">
        <v>24</v>
      </c>
      <c r="E118" s="28">
        <v>150000</v>
      </c>
      <c r="F118" s="20">
        <f t="shared" si="1"/>
        <v>300000</v>
      </c>
    </row>
    <row r="119" spans="1:6" x14ac:dyDescent="0.25">
      <c r="A119" s="92">
        <v>9.1999999999999993</v>
      </c>
      <c r="B119" s="121" t="s">
        <v>138</v>
      </c>
      <c r="C119" s="66">
        <v>1</v>
      </c>
      <c r="D119" s="57" t="s">
        <v>24</v>
      </c>
      <c r="E119" s="28">
        <v>185000</v>
      </c>
      <c r="F119" s="20">
        <f t="shared" si="1"/>
        <v>185000</v>
      </c>
    </row>
    <row r="120" spans="1:6" x14ac:dyDescent="0.25">
      <c r="A120" s="113"/>
      <c r="B120" s="114"/>
      <c r="C120" s="115"/>
      <c r="D120" s="57"/>
      <c r="E120" s="27"/>
      <c r="F120" s="20"/>
    </row>
    <row r="121" spans="1:6" x14ac:dyDescent="0.25">
      <c r="A121" s="116">
        <v>10</v>
      </c>
      <c r="B121" s="63" t="s">
        <v>139</v>
      </c>
      <c r="C121" s="66"/>
      <c r="D121" s="57"/>
      <c r="E121" s="24"/>
      <c r="F121" s="20"/>
    </row>
    <row r="122" spans="1:6" ht="39.6" x14ac:dyDescent="0.25">
      <c r="A122" s="118">
        <v>10.1</v>
      </c>
      <c r="B122" s="122" t="s">
        <v>140</v>
      </c>
      <c r="C122" s="123">
        <v>2</v>
      </c>
      <c r="D122" s="57" t="s">
        <v>24</v>
      </c>
      <c r="E122" s="24">
        <v>44250</v>
      </c>
      <c r="F122" s="20">
        <f t="shared" si="1"/>
        <v>88500</v>
      </c>
    </row>
    <row r="123" spans="1:6" ht="39.6" x14ac:dyDescent="0.25">
      <c r="A123" s="118">
        <v>10.199999999999999</v>
      </c>
      <c r="B123" s="122" t="s">
        <v>141</v>
      </c>
      <c r="C123" s="123">
        <v>1</v>
      </c>
      <c r="D123" s="57" t="s">
        <v>24</v>
      </c>
      <c r="E123" s="24">
        <v>41300</v>
      </c>
      <c r="F123" s="20">
        <f t="shared" si="1"/>
        <v>41300</v>
      </c>
    </row>
    <row r="124" spans="1:6" ht="39.6" x14ac:dyDescent="0.25">
      <c r="A124" s="118">
        <v>10.3</v>
      </c>
      <c r="B124" s="122" t="s">
        <v>142</v>
      </c>
      <c r="C124" s="123">
        <v>13</v>
      </c>
      <c r="D124" s="57" t="s">
        <v>24</v>
      </c>
      <c r="E124" s="24">
        <v>38645</v>
      </c>
      <c r="F124" s="20">
        <f t="shared" si="1"/>
        <v>502385</v>
      </c>
    </row>
    <row r="125" spans="1:6" ht="39.6" x14ac:dyDescent="0.25">
      <c r="A125" s="118">
        <v>10.4</v>
      </c>
      <c r="B125" s="122" t="s">
        <v>143</v>
      </c>
      <c r="C125" s="123">
        <v>13</v>
      </c>
      <c r="D125" s="57" t="s">
        <v>24</v>
      </c>
      <c r="E125" s="24">
        <v>35400</v>
      </c>
      <c r="F125" s="20">
        <f t="shared" si="1"/>
        <v>460200</v>
      </c>
    </row>
    <row r="126" spans="1:6" x14ac:dyDescent="0.25">
      <c r="A126" s="118">
        <v>10.5</v>
      </c>
      <c r="B126" s="122" t="s">
        <v>144</v>
      </c>
      <c r="C126" s="69">
        <v>18</v>
      </c>
      <c r="D126" s="57" t="s">
        <v>24</v>
      </c>
      <c r="E126" s="24">
        <v>5500</v>
      </c>
      <c r="F126" s="20">
        <f t="shared" si="1"/>
        <v>99000</v>
      </c>
    </row>
    <row r="127" spans="1:6" x14ac:dyDescent="0.25">
      <c r="A127" s="118">
        <v>10.6</v>
      </c>
      <c r="B127" s="122" t="s">
        <v>145</v>
      </c>
      <c r="C127" s="69">
        <v>2</v>
      </c>
      <c r="D127" s="57" t="s">
        <v>24</v>
      </c>
      <c r="E127" s="24">
        <v>8000</v>
      </c>
      <c r="F127" s="20">
        <f t="shared" si="1"/>
        <v>16000</v>
      </c>
    </row>
    <row r="128" spans="1:6" x14ac:dyDescent="0.25">
      <c r="A128" s="124"/>
      <c r="B128" s="125"/>
      <c r="C128" s="126"/>
      <c r="D128" s="127"/>
      <c r="E128" s="29"/>
      <c r="F128" s="20"/>
    </row>
    <row r="129" spans="1:6" x14ac:dyDescent="0.25">
      <c r="A129" s="116">
        <v>11</v>
      </c>
      <c r="B129" s="117" t="s">
        <v>146</v>
      </c>
      <c r="C129" s="123"/>
      <c r="D129" s="128"/>
      <c r="E129" s="30"/>
      <c r="F129" s="20"/>
    </row>
    <row r="130" spans="1:6" s="488" customFormat="1" ht="26.4" x14ac:dyDescent="0.25">
      <c r="A130" s="489">
        <v>11.1</v>
      </c>
      <c r="B130" s="490" t="s">
        <v>147</v>
      </c>
      <c r="C130" s="491">
        <v>408</v>
      </c>
      <c r="D130" s="492" t="s">
        <v>24</v>
      </c>
      <c r="E130" s="493">
        <v>1750</v>
      </c>
      <c r="F130" s="487">
        <f t="shared" si="1"/>
        <v>714000</v>
      </c>
    </row>
    <row r="131" spans="1:6" x14ac:dyDescent="0.25">
      <c r="A131" s="133"/>
      <c r="B131" s="61"/>
      <c r="C131" s="66"/>
      <c r="D131" s="134"/>
      <c r="E131" s="24"/>
      <c r="F131" s="20"/>
    </row>
    <row r="132" spans="1:6" x14ac:dyDescent="0.25">
      <c r="A132" s="50">
        <v>12</v>
      </c>
      <c r="B132" s="135" t="s">
        <v>148</v>
      </c>
      <c r="C132" s="66"/>
      <c r="D132" s="134"/>
      <c r="E132" s="24"/>
      <c r="F132" s="20"/>
    </row>
    <row r="133" spans="1:6" ht="26.4" x14ac:dyDescent="0.25">
      <c r="A133" s="136">
        <v>12.1</v>
      </c>
      <c r="B133" s="72" t="s">
        <v>33</v>
      </c>
      <c r="C133" s="97">
        <v>13824</v>
      </c>
      <c r="D133" s="137" t="s">
        <v>40</v>
      </c>
      <c r="E133" s="32">
        <v>100</v>
      </c>
      <c r="F133" s="20">
        <f t="shared" si="1"/>
        <v>1382400</v>
      </c>
    </row>
    <row r="134" spans="1:6" ht="39.6" x14ac:dyDescent="0.25">
      <c r="A134" s="136">
        <v>12.2</v>
      </c>
      <c r="B134" s="72" t="s">
        <v>149</v>
      </c>
      <c r="C134" s="97">
        <v>13824</v>
      </c>
      <c r="D134" s="137" t="s">
        <v>40</v>
      </c>
      <c r="E134" s="32">
        <v>100</v>
      </c>
      <c r="F134" s="20">
        <f t="shared" si="1"/>
        <v>1382400</v>
      </c>
    </row>
    <row r="135" spans="1:6" x14ac:dyDescent="0.25">
      <c r="A135" s="138"/>
      <c r="B135" s="61"/>
      <c r="C135" s="134"/>
      <c r="D135" s="139"/>
      <c r="E135" s="24"/>
      <c r="F135" s="20"/>
    </row>
    <row r="136" spans="1:6" x14ac:dyDescent="0.25">
      <c r="A136" s="50">
        <v>13</v>
      </c>
      <c r="B136" s="140" t="s">
        <v>150</v>
      </c>
      <c r="C136" s="141"/>
      <c r="D136" s="85"/>
      <c r="E136" s="24"/>
      <c r="F136" s="20"/>
    </row>
    <row r="137" spans="1:6" ht="15.6" x14ac:dyDescent="0.25">
      <c r="A137" s="118">
        <v>13.1</v>
      </c>
      <c r="B137" s="72" t="s">
        <v>151</v>
      </c>
      <c r="C137" s="142">
        <v>10368</v>
      </c>
      <c r="D137" s="143" t="s">
        <v>152</v>
      </c>
      <c r="E137" s="24">
        <f>+'Analisis presupuesto base'!G337</f>
        <v>101.93235897435898</v>
      </c>
      <c r="F137" s="20">
        <v>1056834.7</v>
      </c>
    </row>
    <row r="138" spans="1:6" ht="15.6" x14ac:dyDescent="0.25">
      <c r="A138" s="118">
        <v>13.2</v>
      </c>
      <c r="B138" s="72" t="s">
        <v>153</v>
      </c>
      <c r="C138" s="144">
        <v>10368</v>
      </c>
      <c r="D138" s="145" t="s">
        <v>152</v>
      </c>
      <c r="E138" s="32">
        <f>+'Analisis presupuesto base'!H356</f>
        <v>522.58064516129036</v>
      </c>
      <c r="F138" s="20">
        <v>5418116.125</v>
      </c>
    </row>
    <row r="139" spans="1:6" ht="13.8" x14ac:dyDescent="0.25">
      <c r="A139" s="118">
        <v>13.3</v>
      </c>
      <c r="B139" s="72" t="s">
        <v>154</v>
      </c>
      <c r="C139" s="62">
        <v>25920</v>
      </c>
      <c r="D139" s="146" t="s">
        <v>155</v>
      </c>
      <c r="E139" s="24">
        <f>+'Analisis presupuesto base'!H364</f>
        <v>50</v>
      </c>
      <c r="F139" s="20">
        <f t="shared" si="1"/>
        <v>1296000</v>
      </c>
    </row>
    <row r="140" spans="1:6" x14ac:dyDescent="0.25">
      <c r="A140" s="118"/>
      <c r="B140" s="103"/>
      <c r="C140" s="62"/>
      <c r="D140" s="146"/>
      <c r="E140" s="24"/>
      <c r="F140" s="20"/>
    </row>
    <row r="141" spans="1:6" x14ac:dyDescent="0.25">
      <c r="A141" s="118">
        <v>14</v>
      </c>
      <c r="B141" s="72" t="s">
        <v>156</v>
      </c>
      <c r="C141" s="66">
        <v>13824</v>
      </c>
      <c r="D141" s="134" t="s">
        <v>40</v>
      </c>
      <c r="E141" s="24">
        <v>30.39105</v>
      </c>
      <c r="F141" s="20">
        <v>420125.875</v>
      </c>
    </row>
    <row r="142" spans="1:6" x14ac:dyDescent="0.25">
      <c r="A142" s="147"/>
      <c r="B142" s="148" t="s">
        <v>157</v>
      </c>
      <c r="C142" s="149"/>
      <c r="D142" s="150"/>
      <c r="E142" s="34"/>
      <c r="F142" s="496">
        <f>SUM(F41:F141)</f>
        <v>61479832.111999996</v>
      </c>
    </row>
    <row r="143" spans="1:6" x14ac:dyDescent="0.25">
      <c r="A143" s="151"/>
      <c r="B143" s="58"/>
      <c r="C143" s="59"/>
      <c r="D143" s="60"/>
      <c r="E143" s="33"/>
      <c r="F143" s="20"/>
    </row>
    <row r="144" spans="1:6" x14ac:dyDescent="0.25">
      <c r="A144" s="152" t="s">
        <v>158</v>
      </c>
      <c r="B144" s="153" t="s">
        <v>159</v>
      </c>
      <c r="C144" s="154"/>
      <c r="D144" s="155"/>
      <c r="E144" s="35"/>
      <c r="F144" s="20"/>
    </row>
    <row r="145" spans="1:6" x14ac:dyDescent="0.25">
      <c r="A145" s="156"/>
      <c r="B145" s="157"/>
      <c r="C145" s="158"/>
      <c r="D145" s="159"/>
      <c r="E145" s="1"/>
      <c r="F145" s="20"/>
    </row>
    <row r="146" spans="1:6" x14ac:dyDescent="0.25">
      <c r="A146" s="156">
        <v>1</v>
      </c>
      <c r="B146" s="157" t="s">
        <v>160</v>
      </c>
      <c r="C146" s="158"/>
      <c r="D146" s="159"/>
      <c r="E146" s="1"/>
      <c r="F146" s="20"/>
    </row>
    <row r="147" spans="1:6" x14ac:dyDescent="0.25">
      <c r="A147" s="160">
        <v>1.1000000000000001</v>
      </c>
      <c r="B147" s="157" t="s">
        <v>161</v>
      </c>
      <c r="C147" s="158"/>
      <c r="D147" s="159"/>
      <c r="E147" s="1"/>
      <c r="F147" s="20"/>
    </row>
    <row r="148" spans="1:6" x14ac:dyDescent="0.25">
      <c r="A148" s="161" t="s">
        <v>162</v>
      </c>
      <c r="B148" s="61" t="s">
        <v>163</v>
      </c>
      <c r="C148" s="62">
        <v>29.3</v>
      </c>
      <c r="D148" s="57" t="s">
        <v>164</v>
      </c>
      <c r="E148" s="1">
        <v>1250</v>
      </c>
      <c r="F148" s="20">
        <f t="shared" ref="F148:F158" si="2">+E148*C148</f>
        <v>36625</v>
      </c>
    </row>
    <row r="149" spans="1:6" ht="26.4" x14ac:dyDescent="0.25">
      <c r="A149" s="161" t="s">
        <v>165</v>
      </c>
      <c r="B149" s="72" t="s">
        <v>166</v>
      </c>
      <c r="C149" s="62">
        <v>38.090000000000003</v>
      </c>
      <c r="D149" s="57" t="s">
        <v>164</v>
      </c>
      <c r="E149" s="1">
        <v>1250</v>
      </c>
      <c r="F149" s="20">
        <f t="shared" si="2"/>
        <v>47612.500000000007</v>
      </c>
    </row>
    <row r="150" spans="1:6" x14ac:dyDescent="0.25">
      <c r="A150" s="156"/>
      <c r="B150" s="157"/>
      <c r="C150" s="158"/>
      <c r="D150" s="159"/>
      <c r="E150" s="1"/>
      <c r="F150" s="20"/>
    </row>
    <row r="151" spans="1:6" x14ac:dyDescent="0.25">
      <c r="A151" s="160">
        <v>1.2</v>
      </c>
      <c r="B151" s="63" t="s">
        <v>167</v>
      </c>
      <c r="C151" s="62"/>
      <c r="D151" s="57"/>
      <c r="E151" s="1"/>
      <c r="F151" s="20"/>
    </row>
    <row r="152" spans="1:6" x14ac:dyDescent="0.25">
      <c r="A152" s="161" t="s">
        <v>168</v>
      </c>
      <c r="B152" s="61" t="s">
        <v>169</v>
      </c>
      <c r="C152" s="62">
        <v>244.2</v>
      </c>
      <c r="D152" s="57" t="s">
        <v>40</v>
      </c>
      <c r="E152" s="1">
        <f>+'Analisis presupuesto base'!H380</f>
        <v>1602.2415654520917</v>
      </c>
      <c r="F152" s="20">
        <f t="shared" si="2"/>
        <v>391267.39028340077</v>
      </c>
    </row>
    <row r="153" spans="1:6" x14ac:dyDescent="0.25">
      <c r="A153" s="161" t="s">
        <v>170</v>
      </c>
      <c r="B153" s="162" t="s">
        <v>171</v>
      </c>
      <c r="C153" s="62">
        <v>195.36</v>
      </c>
      <c r="D153" s="57" t="s">
        <v>172</v>
      </c>
      <c r="E153" s="1">
        <f>+'Analisis presupuesto base'!H368</f>
        <v>847.37599999999998</v>
      </c>
      <c r="F153" s="20">
        <f t="shared" si="2"/>
        <v>165543.37536000001</v>
      </c>
    </row>
    <row r="154" spans="1:6" x14ac:dyDescent="0.25">
      <c r="A154" s="147"/>
      <c r="B154" s="148" t="s">
        <v>173</v>
      </c>
      <c r="C154" s="149"/>
      <c r="D154" s="150"/>
      <c r="E154" s="34"/>
      <c r="F154" s="34">
        <f>SUM(F144:F153)</f>
        <v>641048.26564340084</v>
      </c>
    </row>
    <row r="155" spans="1:6" x14ac:dyDescent="0.25">
      <c r="A155" s="76"/>
      <c r="B155" s="163"/>
      <c r="C155" s="100"/>
      <c r="D155" s="81"/>
      <c r="E155" s="27"/>
      <c r="F155" s="20"/>
    </row>
    <row r="156" spans="1:6" x14ac:dyDescent="0.25">
      <c r="A156" s="151" t="s">
        <v>174</v>
      </c>
      <c r="B156" s="58" t="s">
        <v>175</v>
      </c>
      <c r="C156" s="141"/>
      <c r="D156" s="81"/>
      <c r="E156" s="1"/>
      <c r="F156" s="20"/>
    </row>
    <row r="157" spans="1:6" ht="52.8" x14ac:dyDescent="0.25">
      <c r="A157" s="118">
        <v>1</v>
      </c>
      <c r="B157" s="93" t="s">
        <v>176</v>
      </c>
      <c r="C157" s="100">
        <v>1</v>
      </c>
      <c r="D157" s="81" t="s">
        <v>24</v>
      </c>
      <c r="E157" s="1">
        <v>57000</v>
      </c>
      <c r="F157" s="20">
        <f t="shared" si="2"/>
        <v>57000</v>
      </c>
    </row>
    <row r="158" spans="1:6" ht="26.4" x14ac:dyDescent="0.25">
      <c r="A158" s="118">
        <v>2</v>
      </c>
      <c r="B158" s="164" t="s">
        <v>177</v>
      </c>
      <c r="C158" s="100">
        <v>10</v>
      </c>
      <c r="D158" s="81" t="s">
        <v>178</v>
      </c>
      <c r="E158" s="1">
        <v>22500</v>
      </c>
      <c r="F158" s="20">
        <f t="shared" si="2"/>
        <v>225000</v>
      </c>
    </row>
    <row r="159" spans="1:6" x14ac:dyDescent="0.25">
      <c r="A159" s="165"/>
      <c r="B159" s="166" t="s">
        <v>179</v>
      </c>
      <c r="C159" s="167"/>
      <c r="D159" s="150"/>
      <c r="E159" s="38"/>
      <c r="F159" s="39">
        <f>SUM(F156:F158)</f>
        <v>282000</v>
      </c>
    </row>
    <row r="160" spans="1:6" ht="13.8" thickBot="1" x14ac:dyDescent="0.3">
      <c r="A160" s="76"/>
      <c r="B160" s="163"/>
      <c r="C160" s="100"/>
      <c r="D160" s="81"/>
      <c r="E160" s="27"/>
      <c r="F160" s="40"/>
    </row>
    <row r="161" spans="1:6" ht="13.8" thickBot="1" x14ac:dyDescent="0.3">
      <c r="A161" s="280"/>
      <c r="B161" s="281" t="s">
        <v>429</v>
      </c>
      <c r="C161" s="282"/>
      <c r="D161" s="283"/>
      <c r="E161" s="284"/>
      <c r="F161" s="285">
        <f>ROUNDDOWN(+F159+F154+F142+F39,2)</f>
        <v>62657908.719999999</v>
      </c>
    </row>
    <row r="162" spans="1:6" ht="13.8" thickBot="1" x14ac:dyDescent="0.3">
      <c r="A162" s="274"/>
      <c r="B162" s="281" t="s">
        <v>429</v>
      </c>
      <c r="C162" s="276"/>
      <c r="D162" s="277"/>
      <c r="E162" s="278"/>
      <c r="F162" s="279">
        <f>+F161</f>
        <v>62657908.719999999</v>
      </c>
    </row>
    <row r="164" spans="1:6" ht="15.6" x14ac:dyDescent="0.25">
      <c r="A164" s="508" t="s">
        <v>424</v>
      </c>
      <c r="B164" s="508"/>
      <c r="C164" s="508"/>
      <c r="D164" s="508"/>
      <c r="E164" s="508"/>
      <c r="F164" s="508"/>
    </row>
    <row r="166" spans="1:6" x14ac:dyDescent="0.25">
      <c r="A166" s="506" t="s">
        <v>1</v>
      </c>
      <c r="B166" s="507"/>
      <c r="C166" s="507"/>
      <c r="D166" s="507"/>
      <c r="E166" s="507"/>
      <c r="F166" s="507"/>
    </row>
    <row r="167" spans="1:6" x14ac:dyDescent="0.25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5">
      <c r="A168" s="6"/>
      <c r="B168" s="7"/>
      <c r="C168" s="7"/>
      <c r="D168" s="8"/>
      <c r="E168" s="9"/>
      <c r="F168" s="10"/>
    </row>
    <row r="169" spans="1:6" x14ac:dyDescent="0.25">
      <c r="A169" s="43" t="s">
        <v>4</v>
      </c>
      <c r="B169" s="43" t="s">
        <v>5</v>
      </c>
      <c r="C169" s="44" t="s">
        <v>6</v>
      </c>
      <c r="D169" s="43" t="s">
        <v>7</v>
      </c>
      <c r="E169" s="12" t="s">
        <v>8</v>
      </c>
      <c r="F169" s="11" t="s">
        <v>9</v>
      </c>
    </row>
    <row r="170" spans="1:6" x14ac:dyDescent="0.25">
      <c r="A170" s="45"/>
      <c r="B170" s="45"/>
      <c r="C170" s="46"/>
      <c r="D170" s="45"/>
      <c r="E170" s="14"/>
      <c r="F170" s="13"/>
    </row>
    <row r="171" spans="1:6" x14ac:dyDescent="0.25">
      <c r="A171" s="45"/>
      <c r="B171" s="47"/>
      <c r="C171" s="48"/>
      <c r="D171" s="49"/>
      <c r="E171" s="15"/>
      <c r="F171" s="16"/>
    </row>
    <row r="172" spans="1:6" ht="26.4" x14ac:dyDescent="0.25">
      <c r="A172" s="50" t="s">
        <v>10</v>
      </c>
      <c r="B172" s="51" t="s">
        <v>11</v>
      </c>
      <c r="C172" s="52"/>
      <c r="D172" s="53"/>
      <c r="E172" s="17"/>
      <c r="F172" s="18"/>
    </row>
    <row r="173" spans="1:6" x14ac:dyDescent="0.25">
      <c r="A173" s="50"/>
      <c r="B173" s="51"/>
      <c r="C173" s="52"/>
      <c r="D173" s="53"/>
      <c r="E173" s="17"/>
      <c r="F173" s="18"/>
    </row>
    <row r="174" spans="1:6" hidden="1" x14ac:dyDescent="0.25">
      <c r="A174" s="50">
        <v>1</v>
      </c>
      <c r="B174" s="51" t="s">
        <v>12</v>
      </c>
      <c r="C174" s="52"/>
      <c r="D174" s="53"/>
      <c r="E174" s="17"/>
      <c r="F174" s="18"/>
    </row>
    <row r="175" spans="1:6" hidden="1" x14ac:dyDescent="0.25">
      <c r="A175" s="54">
        <v>1.1000000000000001</v>
      </c>
      <c r="B175" s="55" t="s">
        <v>13</v>
      </c>
      <c r="C175" s="56">
        <v>1</v>
      </c>
      <c r="D175" s="57" t="s">
        <v>14</v>
      </c>
      <c r="E175" s="19">
        <f>+'Presupuesto Actual compl'!E15-E13</f>
        <v>0</v>
      </c>
      <c r="F175" s="20">
        <f>+'Presupuesto Actual compl'!F15-'Presupuesto actualizado'!F13</f>
        <v>0</v>
      </c>
    </row>
    <row r="176" spans="1:6" hidden="1" x14ac:dyDescent="0.25">
      <c r="A176" s="54">
        <v>1.2</v>
      </c>
      <c r="B176" s="55" t="s">
        <v>15</v>
      </c>
      <c r="C176" s="56">
        <v>4</v>
      </c>
      <c r="D176" s="57" t="s">
        <v>16</v>
      </c>
      <c r="E176" s="19">
        <f>+'Presupuesto Actual compl'!E16-E14</f>
        <v>0</v>
      </c>
      <c r="F176" s="20">
        <f>+'Presupuesto Actual compl'!F16-'Presupuesto actualizado'!F14</f>
        <v>0</v>
      </c>
    </row>
    <row r="177" spans="1:6" hidden="1" x14ac:dyDescent="0.25">
      <c r="A177" s="54">
        <v>1.3</v>
      </c>
      <c r="B177" s="55" t="s">
        <v>17</v>
      </c>
      <c r="C177" s="56">
        <v>1</v>
      </c>
      <c r="D177" s="57" t="s">
        <v>14</v>
      </c>
      <c r="E177" s="19">
        <f>+'Presupuesto Actual compl'!E17-E15</f>
        <v>0</v>
      </c>
      <c r="F177" s="20">
        <f>+'Presupuesto Actual compl'!F17-'Presupuesto actualizado'!F15</f>
        <v>0</v>
      </c>
    </row>
    <row r="178" spans="1:6" hidden="1" x14ac:dyDescent="0.25">
      <c r="A178" s="50"/>
      <c r="B178" s="51"/>
      <c r="C178" s="52"/>
      <c r="D178" s="53"/>
      <c r="E178" s="17"/>
      <c r="F178" s="20"/>
    </row>
    <row r="179" spans="1:6" x14ac:dyDescent="0.25">
      <c r="A179" s="50">
        <v>2</v>
      </c>
      <c r="B179" s="58" t="s">
        <v>18</v>
      </c>
      <c r="C179" s="59"/>
      <c r="D179" s="60"/>
      <c r="E179" s="21"/>
      <c r="F179" s="20"/>
    </row>
    <row r="180" spans="1:6" x14ac:dyDescent="0.25">
      <c r="A180" s="54">
        <v>2.1</v>
      </c>
      <c r="B180" s="61" t="s">
        <v>19</v>
      </c>
      <c r="C180" s="62">
        <v>4</v>
      </c>
      <c r="D180" s="57" t="s">
        <v>16</v>
      </c>
      <c r="E180" s="19">
        <f>+'Presupuesto Actual compl'!E20-'Presupuesto Base 1'!E18</f>
        <v>21.109983333333389</v>
      </c>
      <c r="F180" s="20">
        <f>+'Presupuesto Actual compl'!F20-'Presupuesto actualizado'!F18</f>
        <v>84.439933333333556</v>
      </c>
    </row>
    <row r="181" spans="1:6" x14ac:dyDescent="0.25">
      <c r="A181" s="50"/>
      <c r="B181" s="61"/>
      <c r="C181" s="62"/>
      <c r="D181" s="57"/>
      <c r="E181" s="1"/>
      <c r="F181" s="20"/>
    </row>
    <row r="182" spans="1:6" hidden="1" x14ac:dyDescent="0.25">
      <c r="A182" s="50">
        <v>3</v>
      </c>
      <c r="B182" s="63" t="s">
        <v>20</v>
      </c>
      <c r="C182" s="62"/>
      <c r="D182" s="57"/>
      <c r="E182" s="1"/>
      <c r="F182" s="20"/>
    </row>
    <row r="183" spans="1:6" hidden="1" x14ac:dyDescent="0.25">
      <c r="A183" s="54">
        <v>3.1</v>
      </c>
      <c r="B183" s="61" t="s">
        <v>21</v>
      </c>
      <c r="C183" s="62">
        <v>4</v>
      </c>
      <c r="D183" s="57" t="s">
        <v>16</v>
      </c>
      <c r="E183" s="19">
        <f>+'Presupuesto Actual compl'!E23-E21</f>
        <v>0</v>
      </c>
      <c r="F183" s="20">
        <f>+'Presupuesto Actual compl'!F23-'Presupuesto actualizado'!F21</f>
        <v>0</v>
      </c>
    </row>
    <row r="184" spans="1:6" hidden="1" x14ac:dyDescent="0.25">
      <c r="A184" s="54">
        <v>3.2</v>
      </c>
      <c r="B184" s="61" t="s">
        <v>22</v>
      </c>
      <c r="C184" s="62">
        <v>4</v>
      </c>
      <c r="D184" s="57" t="s">
        <v>16</v>
      </c>
      <c r="E184" s="19">
        <f>+'Presupuesto Actual compl'!E24-E22</f>
        <v>0</v>
      </c>
      <c r="F184" s="20">
        <f>+'Presupuesto Actual compl'!F24-'Presupuesto actualizado'!F22</f>
        <v>0</v>
      </c>
    </row>
    <row r="185" spans="1:6" hidden="1" x14ac:dyDescent="0.25">
      <c r="A185" s="50"/>
      <c r="B185" s="61"/>
      <c r="C185" s="62"/>
      <c r="D185" s="57"/>
      <c r="E185" s="1"/>
      <c r="F185" s="20"/>
    </row>
    <row r="186" spans="1:6" ht="26.4" x14ac:dyDescent="0.25">
      <c r="A186" s="64">
        <v>4</v>
      </c>
      <c r="B186" s="65" t="s">
        <v>23</v>
      </c>
      <c r="C186" s="66">
        <v>1</v>
      </c>
      <c r="D186" s="57" t="s">
        <v>24</v>
      </c>
      <c r="E186" s="19"/>
      <c r="F186" s="20"/>
    </row>
    <row r="187" spans="1:6" hidden="1" x14ac:dyDescent="0.25">
      <c r="A187" s="67">
        <v>4.0999999999999996</v>
      </c>
      <c r="B187" s="61" t="s">
        <v>25</v>
      </c>
      <c r="C187" s="68">
        <v>1</v>
      </c>
      <c r="D187" s="57" t="s">
        <v>24</v>
      </c>
      <c r="E187" s="19">
        <f>+'Presupuesto Actual compl'!E27-E25</f>
        <v>0</v>
      </c>
      <c r="F187" s="20">
        <f>+'Presupuesto Actual compl'!F27-'Presupuesto actualizado'!F25</f>
        <v>0</v>
      </c>
    </row>
    <row r="188" spans="1:6" hidden="1" x14ac:dyDescent="0.25">
      <c r="A188" s="67">
        <v>4.2</v>
      </c>
      <c r="B188" s="61" t="s">
        <v>26</v>
      </c>
      <c r="C188" s="69">
        <v>1</v>
      </c>
      <c r="D188" s="57" t="s">
        <v>24</v>
      </c>
      <c r="E188" s="19">
        <f>+'Presupuesto Actual compl'!E28-E26</f>
        <v>0</v>
      </c>
      <c r="F188" s="20">
        <f>+'Presupuesto Actual compl'!F28-'Presupuesto actualizado'!F26</f>
        <v>0</v>
      </c>
    </row>
    <row r="189" spans="1:6" hidden="1" x14ac:dyDescent="0.25">
      <c r="A189" s="67">
        <v>4.3</v>
      </c>
      <c r="B189" s="61" t="s">
        <v>27</v>
      </c>
      <c r="C189" s="69">
        <v>1</v>
      </c>
      <c r="D189" s="57" t="s">
        <v>24</v>
      </c>
      <c r="E189" s="19">
        <f>+'Presupuesto Actual compl'!E29-E27</f>
        <v>-4.0000000008149073E-3</v>
      </c>
      <c r="F189" s="20">
        <v>0</v>
      </c>
    </row>
    <row r="190" spans="1:6" hidden="1" x14ac:dyDescent="0.25">
      <c r="A190" s="67">
        <v>4.4000000000000004</v>
      </c>
      <c r="B190" s="70" t="s">
        <v>28</v>
      </c>
      <c r="C190" s="66">
        <v>1</v>
      </c>
      <c r="D190" s="57" t="s">
        <v>24</v>
      </c>
      <c r="E190" s="19">
        <f>+'Presupuesto Actual compl'!E30-E28</f>
        <v>-3.9999999999054126E-3</v>
      </c>
      <c r="F190" s="20">
        <v>0</v>
      </c>
    </row>
    <row r="191" spans="1:6" hidden="1" x14ac:dyDescent="0.25">
      <c r="A191" s="67">
        <v>4.5</v>
      </c>
      <c r="B191" s="61" t="s">
        <v>29</v>
      </c>
      <c r="C191" s="69">
        <v>2</v>
      </c>
      <c r="D191" s="57" t="s">
        <v>24</v>
      </c>
      <c r="E191" s="19">
        <f>+'Presupuesto Actual compl'!E31-E29</f>
        <v>0</v>
      </c>
      <c r="F191" s="20">
        <f>+'Presupuesto Actual compl'!F31-'Presupuesto actualizado'!F29</f>
        <v>0</v>
      </c>
    </row>
    <row r="192" spans="1:6" hidden="1" x14ac:dyDescent="0.25">
      <c r="A192" s="67">
        <v>4.5999999999999996</v>
      </c>
      <c r="B192" s="61" t="s">
        <v>30</v>
      </c>
      <c r="C192" s="69">
        <v>3</v>
      </c>
      <c r="D192" s="57" t="s">
        <v>24</v>
      </c>
      <c r="E192" s="19">
        <f>+'Presupuesto Actual compl'!E32-E30</f>
        <v>0</v>
      </c>
      <c r="F192" s="20">
        <f>+'Presupuesto Actual compl'!F32-'Presupuesto actualizado'!F30</f>
        <v>0</v>
      </c>
    </row>
    <row r="193" spans="1:6" hidden="1" x14ac:dyDescent="0.25">
      <c r="A193" s="67">
        <v>4.7</v>
      </c>
      <c r="B193" s="61" t="s">
        <v>31</v>
      </c>
      <c r="C193" s="69">
        <v>1</v>
      </c>
      <c r="D193" s="57" t="s">
        <v>24</v>
      </c>
      <c r="E193" s="19">
        <f>+'Presupuesto Actual compl'!E33-E31</f>
        <v>0</v>
      </c>
      <c r="F193" s="20">
        <f>+'Presupuesto Actual compl'!F33-'Presupuesto actualizado'!F31</f>
        <v>0</v>
      </c>
    </row>
    <row r="194" spans="1:6" hidden="1" x14ac:dyDescent="0.25">
      <c r="A194" s="67">
        <v>4.8</v>
      </c>
      <c r="B194" s="61" t="s">
        <v>32</v>
      </c>
      <c r="C194" s="69">
        <v>3</v>
      </c>
      <c r="D194" s="57" t="s">
        <v>24</v>
      </c>
      <c r="E194" s="19">
        <f>+'Presupuesto Actual compl'!E34-E32</f>
        <v>0</v>
      </c>
      <c r="F194" s="20">
        <f>+'Presupuesto Actual compl'!F34-'Presupuesto actualizado'!F32</f>
        <v>0</v>
      </c>
    </row>
    <row r="195" spans="1:6" hidden="1" x14ac:dyDescent="0.25">
      <c r="A195" s="67"/>
      <c r="B195" s="61"/>
      <c r="C195" s="69"/>
      <c r="D195" s="57"/>
      <c r="E195" s="19"/>
      <c r="F195" s="20"/>
    </row>
    <row r="196" spans="1:6" ht="26.4" hidden="1" x14ac:dyDescent="0.25">
      <c r="A196" s="71">
        <v>5</v>
      </c>
      <c r="B196" s="216" t="s">
        <v>33</v>
      </c>
      <c r="C196" s="69">
        <v>1</v>
      </c>
      <c r="D196" s="57" t="s">
        <v>24</v>
      </c>
      <c r="E196" s="19">
        <f>+'Presupuesto Actual compl'!E36-E34</f>
        <v>0</v>
      </c>
      <c r="F196" s="20">
        <f>+'Presupuesto Actual compl'!F36-'Presupuesto actualizado'!F34</f>
        <v>0</v>
      </c>
    </row>
    <row r="197" spans="1:6" hidden="1" x14ac:dyDescent="0.25">
      <c r="A197" s="71"/>
      <c r="B197" s="61"/>
      <c r="C197" s="69"/>
      <c r="D197" s="57"/>
      <c r="E197" s="19"/>
      <c r="F197" s="20"/>
    </row>
    <row r="198" spans="1:6" hidden="1" x14ac:dyDescent="0.25">
      <c r="A198" s="71">
        <v>6</v>
      </c>
      <c r="B198" s="61" t="s">
        <v>34</v>
      </c>
      <c r="C198" s="69">
        <v>1</v>
      </c>
      <c r="D198" s="57" t="s">
        <v>14</v>
      </c>
      <c r="E198" s="19">
        <f>+'Presupuesto Actual compl'!E38-E36</f>
        <v>0</v>
      </c>
      <c r="F198" s="20">
        <f>+'Presupuesto Actual compl'!F38-'Presupuesto actualizado'!F36</f>
        <v>0</v>
      </c>
    </row>
    <row r="199" spans="1:6" hidden="1" x14ac:dyDescent="0.25">
      <c r="A199" s="71"/>
      <c r="B199" s="61"/>
      <c r="C199" s="69"/>
      <c r="D199" s="57"/>
      <c r="E199" s="19"/>
      <c r="F199" s="20"/>
    </row>
    <row r="200" spans="1:6" x14ac:dyDescent="0.25">
      <c r="A200" s="71">
        <v>7</v>
      </c>
      <c r="B200" s="61" t="s">
        <v>35</v>
      </c>
      <c r="C200" s="69">
        <v>1</v>
      </c>
      <c r="D200" s="57" t="s">
        <v>24</v>
      </c>
      <c r="E200" s="19">
        <f>+'Presupuesto Actual compl'!E40-E38</f>
        <v>18000</v>
      </c>
      <c r="F200" s="20">
        <f>+'Presupuesto Actual compl'!F40-'Presupuesto actualizado'!F38</f>
        <v>18000</v>
      </c>
    </row>
    <row r="201" spans="1:6" x14ac:dyDescent="0.25">
      <c r="A201" s="73"/>
      <c r="B201" s="73" t="s">
        <v>36</v>
      </c>
      <c r="C201" s="74"/>
      <c r="D201" s="75"/>
      <c r="E201" s="22"/>
      <c r="F201" s="22">
        <f>SUM(F175:F200)</f>
        <v>18084.439933333335</v>
      </c>
    </row>
    <row r="202" spans="1:6" x14ac:dyDescent="0.25">
      <c r="A202" s="76"/>
      <c r="B202" s="76"/>
      <c r="C202" s="66"/>
      <c r="D202" s="49"/>
      <c r="E202" s="19"/>
      <c r="F202" s="20"/>
    </row>
    <row r="203" spans="1:6" x14ac:dyDescent="0.25">
      <c r="A203" s="77" t="s">
        <v>37</v>
      </c>
      <c r="B203" s="78" t="s">
        <v>38</v>
      </c>
      <c r="C203" s="66"/>
      <c r="D203" s="49"/>
      <c r="E203" s="19"/>
      <c r="F203" s="20"/>
    </row>
    <row r="204" spans="1:6" x14ac:dyDescent="0.25">
      <c r="A204" s="76"/>
      <c r="B204" s="76"/>
      <c r="C204" s="66"/>
      <c r="D204" s="49"/>
      <c r="E204" s="19"/>
      <c r="F204" s="20"/>
    </row>
    <row r="205" spans="1:6" x14ac:dyDescent="0.25">
      <c r="A205" s="79">
        <v>1</v>
      </c>
      <c r="B205" s="80" t="s">
        <v>39</v>
      </c>
      <c r="C205" s="66">
        <v>21027</v>
      </c>
      <c r="D205" s="81" t="s">
        <v>40</v>
      </c>
      <c r="E205" s="19">
        <f>+'Presupuesto Actual compl'!E45-E43</f>
        <v>5.9359999999999999</v>
      </c>
      <c r="F205" s="20">
        <f>+'Presupuesto Actual compl'!F45-'Presupuesto actualizado'!F43</f>
        <v>124816.27000000002</v>
      </c>
    </row>
    <row r="206" spans="1:6" x14ac:dyDescent="0.25">
      <c r="A206" s="82"/>
      <c r="B206" s="76"/>
      <c r="C206" s="66"/>
      <c r="D206" s="81"/>
      <c r="E206" s="19"/>
      <c r="F206" s="20"/>
    </row>
    <row r="207" spans="1:6" x14ac:dyDescent="0.25">
      <c r="A207" s="83">
        <v>2</v>
      </c>
      <c r="B207" s="84" t="s">
        <v>41</v>
      </c>
      <c r="C207" s="66"/>
      <c r="D207" s="85"/>
      <c r="E207" s="19"/>
      <c r="F207" s="20"/>
    </row>
    <row r="208" spans="1:6" x14ac:dyDescent="0.25">
      <c r="A208" s="86">
        <v>2.1</v>
      </c>
      <c r="B208" s="87" t="s">
        <v>42</v>
      </c>
      <c r="C208" s="56">
        <v>27648</v>
      </c>
      <c r="D208" s="81" t="s">
        <v>40</v>
      </c>
      <c r="E208" s="19">
        <f>+'Presupuesto Actual compl'!E48-E46</f>
        <v>0.3720000516699713</v>
      </c>
      <c r="F208" s="20">
        <f>+'Presupuesto Actual compl'!F48-'Presupuesto actualizado'!F46</f>
        <v>10403.547428571386</v>
      </c>
    </row>
    <row r="209" spans="1:6" ht="13.8" x14ac:dyDescent="0.25">
      <c r="A209" s="54">
        <v>2.2000000000000002</v>
      </c>
      <c r="B209" s="87" t="s">
        <v>43</v>
      </c>
      <c r="C209" s="56">
        <v>10368</v>
      </c>
      <c r="D209" s="57" t="s">
        <v>44</v>
      </c>
      <c r="E209" s="19">
        <f>+'Presupuesto Actual compl'!E49-E47</f>
        <v>6.6949333333333385</v>
      </c>
      <c r="F209" s="20">
        <f>+'Presupuesto Actual compl'!F49-'Presupuesto actualizado'!F47</f>
        <v>69413.068800000066</v>
      </c>
    </row>
    <row r="210" spans="1:6" ht="13.8" x14ac:dyDescent="0.25">
      <c r="A210" s="86">
        <v>2.2999999999999998</v>
      </c>
      <c r="B210" s="87" t="s">
        <v>45</v>
      </c>
      <c r="C210" s="56">
        <v>673.92</v>
      </c>
      <c r="D210" s="57" t="s">
        <v>46</v>
      </c>
      <c r="E210" s="19">
        <f>+'Presupuesto Actual compl'!E50-E48</f>
        <v>16.281988235294108</v>
      </c>
      <c r="F210" s="20">
        <f>+'Presupuesto Actual compl'!F50-'Presupuesto actualizado'!F48</f>
        <v>10972.75529411764</v>
      </c>
    </row>
    <row r="211" spans="1:6" x14ac:dyDescent="0.25">
      <c r="A211" s="78"/>
      <c r="B211" s="88"/>
      <c r="C211" s="66"/>
      <c r="D211" s="85"/>
      <c r="E211" s="19"/>
      <c r="F211" s="20"/>
    </row>
    <row r="212" spans="1:6" x14ac:dyDescent="0.25">
      <c r="A212" s="89">
        <v>3</v>
      </c>
      <c r="B212" s="89" t="s">
        <v>47</v>
      </c>
      <c r="C212" s="90"/>
      <c r="D212" s="91"/>
      <c r="E212" s="23"/>
      <c r="F212" s="20"/>
    </row>
    <row r="213" spans="1:6" ht="15.6" x14ac:dyDescent="0.25">
      <c r="A213" s="78">
        <v>3.1</v>
      </c>
      <c r="B213" s="63" t="s">
        <v>48</v>
      </c>
      <c r="C213" s="66"/>
      <c r="D213" s="85"/>
      <c r="E213" s="19"/>
      <c r="F213" s="20"/>
    </row>
    <row r="214" spans="1:6" ht="13.8" x14ac:dyDescent="0.25">
      <c r="A214" s="92" t="s">
        <v>49</v>
      </c>
      <c r="B214" s="61" t="s">
        <v>50</v>
      </c>
      <c r="C214" s="66">
        <v>11203.06</v>
      </c>
      <c r="D214" s="57" t="s">
        <v>46</v>
      </c>
      <c r="E214" s="19">
        <f>+'Presupuesto Actual compl'!E54-E52</f>
        <v>91.936115000000029</v>
      </c>
      <c r="F214" s="20">
        <f>+'Presupuesto Actual compl'!F54-'Presupuesto actualizado'!F52</f>
        <v>1029965.8114600002</v>
      </c>
    </row>
    <row r="215" spans="1:6" ht="13.8" hidden="1" x14ac:dyDescent="0.25">
      <c r="A215" s="92" t="s">
        <v>51</v>
      </c>
      <c r="B215" s="61" t="s">
        <v>52</v>
      </c>
      <c r="C215" s="66">
        <v>4801.3100000000004</v>
      </c>
      <c r="D215" s="57" t="s">
        <v>46</v>
      </c>
      <c r="E215" s="19">
        <f>+'Presupuesto Actual compl'!E55-E53</f>
        <v>0</v>
      </c>
      <c r="F215" s="20">
        <f>+'Presupuesto Actual compl'!F55-'Presupuesto actualizado'!F53</f>
        <v>1.9285716116428375E-3</v>
      </c>
    </row>
    <row r="216" spans="1:6" ht="13.8" hidden="1" x14ac:dyDescent="0.25">
      <c r="A216" s="92" t="s">
        <v>53</v>
      </c>
      <c r="B216" s="87" t="s">
        <v>54</v>
      </c>
      <c r="C216" s="66">
        <v>15770.25</v>
      </c>
      <c r="D216" s="57" t="s">
        <v>44</v>
      </c>
      <c r="E216" s="19">
        <f>+'Presupuesto Actual compl'!E56-E54</f>
        <v>0</v>
      </c>
      <c r="F216" s="20">
        <f>+'Presupuesto Actual compl'!F56-'Presupuesto actualizado'!F54</f>
        <v>0</v>
      </c>
    </row>
    <row r="217" spans="1:6" ht="13.8" x14ac:dyDescent="0.25">
      <c r="A217" s="92" t="s">
        <v>55</v>
      </c>
      <c r="B217" s="93" t="s">
        <v>56</v>
      </c>
      <c r="C217" s="66">
        <v>1293.6199999999999</v>
      </c>
      <c r="D217" s="57" t="s">
        <v>46</v>
      </c>
      <c r="E217" s="19">
        <f>+'Presupuesto Actual compl'!E57-E55</f>
        <v>778.19999999999982</v>
      </c>
      <c r="F217" s="20">
        <f>+'Presupuesto Actual compl'!F57-'Presupuesto actualizado'!F55</f>
        <v>1006695.0839999997</v>
      </c>
    </row>
    <row r="218" spans="1:6" ht="13.8" x14ac:dyDescent="0.25">
      <c r="A218" s="92" t="s">
        <v>57</v>
      </c>
      <c r="B218" s="61" t="s">
        <v>58</v>
      </c>
      <c r="C218" s="94">
        <v>5761.57</v>
      </c>
      <c r="D218" s="57" t="s">
        <v>46</v>
      </c>
      <c r="E218" s="19">
        <f>+'Presupuesto Actual compl'!E58-E56</f>
        <v>142.74380359999998</v>
      </c>
      <c r="F218" s="20">
        <f>+'Presupuesto Actual compl'!F58-'Presupuesto actualizado'!F56</f>
        <v>822428.42049745191</v>
      </c>
    </row>
    <row r="219" spans="1:6" ht="26.4" hidden="1" x14ac:dyDescent="0.25">
      <c r="A219" s="92" t="s">
        <v>59</v>
      </c>
      <c r="B219" s="72" t="s">
        <v>60</v>
      </c>
      <c r="C219" s="95">
        <v>13808.54</v>
      </c>
      <c r="D219" s="96" t="s">
        <v>61</v>
      </c>
      <c r="E219" s="19">
        <f>+'Presupuesto Actual compl'!E59-E57</f>
        <v>0</v>
      </c>
      <c r="F219" s="20">
        <v>0</v>
      </c>
    </row>
    <row r="220" spans="1:6" ht="26.4" x14ac:dyDescent="0.25">
      <c r="A220" s="92" t="s">
        <v>62</v>
      </c>
      <c r="B220" s="72" t="s">
        <v>63</v>
      </c>
      <c r="C220" s="97">
        <v>8876.7000000000007</v>
      </c>
      <c r="D220" s="98" t="s">
        <v>46</v>
      </c>
      <c r="E220" s="19">
        <f>+'Presupuesto Actual compl'!E60-E58</f>
        <v>55.94380000000001</v>
      </c>
      <c r="F220" s="20">
        <f>+'Presupuesto Actual compl'!F60-'Presupuesto actualizado'!F58</f>
        <v>496596.33039480052</v>
      </c>
    </row>
    <row r="221" spans="1:6" x14ac:dyDescent="0.25">
      <c r="A221" s="99"/>
      <c r="B221" s="76"/>
      <c r="C221" s="100"/>
      <c r="D221" s="81"/>
      <c r="E221" s="17"/>
      <c r="F221" s="20"/>
    </row>
    <row r="222" spans="1:6" x14ac:dyDescent="0.25">
      <c r="A222" s="99"/>
      <c r="B222" s="76"/>
      <c r="C222" s="100"/>
      <c r="D222" s="81"/>
      <c r="E222" s="17"/>
      <c r="F222" s="20"/>
    </row>
    <row r="223" spans="1:6" x14ac:dyDescent="0.25">
      <c r="A223" s="101">
        <v>4</v>
      </c>
      <c r="B223" s="80" t="s">
        <v>64</v>
      </c>
      <c r="C223" s="100"/>
      <c r="D223" s="81"/>
      <c r="E223" s="17"/>
      <c r="F223" s="20"/>
    </row>
    <row r="224" spans="1:6" x14ac:dyDescent="0.25">
      <c r="A224" s="102">
        <v>4.0999999999999996</v>
      </c>
      <c r="B224" s="103" t="s">
        <v>65</v>
      </c>
      <c r="C224" s="66">
        <v>1339</v>
      </c>
      <c r="D224" s="81" t="s">
        <v>40</v>
      </c>
      <c r="E224" s="19">
        <f>+'Presupuesto Actual compl'!E64-E62</f>
        <v>2576.0587699336929</v>
      </c>
      <c r="F224" s="20">
        <f>+'Presupuesto Actual compl'!F64-'Presupuesto actualizado'!F62</f>
        <v>3449342.6923912144</v>
      </c>
    </row>
    <row r="225" spans="1:6" x14ac:dyDescent="0.25">
      <c r="A225" s="102">
        <v>4.2</v>
      </c>
      <c r="B225" s="103" t="s">
        <v>66</v>
      </c>
      <c r="C225" s="66">
        <v>1287.5</v>
      </c>
      <c r="D225" s="81" t="s">
        <v>40</v>
      </c>
      <c r="E225" s="19">
        <f>+'Presupuesto Actual compl'!E65-E63</f>
        <v>436.61999999999625</v>
      </c>
      <c r="F225" s="20">
        <f>+'Presupuesto Actual compl'!F65-'Presupuesto actualizado'!F63</f>
        <v>562148.24999999534</v>
      </c>
    </row>
    <row r="226" spans="1:6" hidden="1" x14ac:dyDescent="0.25">
      <c r="A226" s="102">
        <v>4.3</v>
      </c>
      <c r="B226" s="103" t="s">
        <v>67</v>
      </c>
      <c r="C226" s="66">
        <v>7456.2</v>
      </c>
      <c r="D226" s="81" t="s">
        <v>40</v>
      </c>
      <c r="E226" s="19">
        <f>+'Presupuesto Actual compl'!E66-E64</f>
        <v>0</v>
      </c>
      <c r="F226" s="20">
        <f>+'Presupuesto Actual compl'!F66-'Presupuesto actualizado'!F64</f>
        <v>0</v>
      </c>
    </row>
    <row r="227" spans="1:6" hidden="1" x14ac:dyDescent="0.25">
      <c r="A227" s="102">
        <v>4.4000000000000004</v>
      </c>
      <c r="B227" s="103" t="s">
        <v>68</v>
      </c>
      <c r="C227" s="66">
        <v>11390.34</v>
      </c>
      <c r="D227" s="81" t="s">
        <v>40</v>
      </c>
      <c r="E227" s="19">
        <f>+'Presupuesto Actual compl'!E67-E65</f>
        <v>0</v>
      </c>
      <c r="F227" s="20">
        <f>+'Presupuesto Actual compl'!F67-'Presupuesto actualizado'!F65</f>
        <v>0</v>
      </c>
    </row>
    <row r="228" spans="1:6" x14ac:dyDescent="0.25">
      <c r="A228" s="104"/>
      <c r="B228" s="76"/>
      <c r="C228" s="66"/>
      <c r="D228" s="81"/>
      <c r="E228" s="19"/>
      <c r="F228" s="20"/>
    </row>
    <row r="229" spans="1:6" hidden="1" x14ac:dyDescent="0.25">
      <c r="A229" s="101">
        <v>5</v>
      </c>
      <c r="B229" s="80" t="s">
        <v>69</v>
      </c>
      <c r="C229" s="66"/>
      <c r="D229" s="81"/>
      <c r="E229" s="19"/>
      <c r="F229" s="20"/>
    </row>
    <row r="230" spans="1:6" hidden="1" x14ac:dyDescent="0.25">
      <c r="A230" s="102">
        <v>5.0999999999999996</v>
      </c>
      <c r="B230" s="103" t="s">
        <v>70</v>
      </c>
      <c r="C230" s="66">
        <v>1300</v>
      </c>
      <c r="D230" s="81" t="s">
        <v>40</v>
      </c>
      <c r="E230" s="19">
        <f>+'Presupuesto Actual compl'!E70-E68</f>
        <v>0</v>
      </c>
      <c r="F230" s="20">
        <f>+'Presupuesto Actual compl'!F70-'Presupuesto actualizado'!F68</f>
        <v>0</v>
      </c>
    </row>
    <row r="231" spans="1:6" hidden="1" x14ac:dyDescent="0.25">
      <c r="A231" s="102">
        <v>5.2</v>
      </c>
      <c r="B231" s="103" t="s">
        <v>71</v>
      </c>
      <c r="C231" s="66">
        <v>1250</v>
      </c>
      <c r="D231" s="81" t="s">
        <v>40</v>
      </c>
      <c r="E231" s="19">
        <f>+'Presupuesto Actual compl'!E71-E69</f>
        <v>0</v>
      </c>
      <c r="F231" s="20">
        <f>+'Presupuesto Actual compl'!F71-'Presupuesto actualizado'!F69</f>
        <v>0</v>
      </c>
    </row>
    <row r="232" spans="1:6" hidden="1" x14ac:dyDescent="0.25">
      <c r="A232" s="102">
        <v>5.3</v>
      </c>
      <c r="B232" s="103" t="s">
        <v>72</v>
      </c>
      <c r="C232" s="66">
        <v>7310</v>
      </c>
      <c r="D232" s="81" t="s">
        <v>40</v>
      </c>
      <c r="E232" s="19">
        <f>+'Presupuesto Actual compl'!E72-E70</f>
        <v>0</v>
      </c>
      <c r="F232" s="20">
        <f>+'Presupuesto Actual compl'!F72-'Presupuesto actualizado'!F70</f>
        <v>0</v>
      </c>
    </row>
    <row r="233" spans="1:6" hidden="1" x14ac:dyDescent="0.25">
      <c r="A233" s="102">
        <v>5.4</v>
      </c>
      <c r="B233" s="103" t="s">
        <v>73</v>
      </c>
      <c r="C233" s="66">
        <v>11167</v>
      </c>
      <c r="D233" s="81" t="s">
        <v>40</v>
      </c>
      <c r="E233" s="19">
        <f>+'Presupuesto Actual compl'!E73-E71</f>
        <v>0</v>
      </c>
      <c r="F233" s="20">
        <f>+'Presupuesto Actual compl'!F73-'Presupuesto actualizado'!F71</f>
        <v>0</v>
      </c>
    </row>
    <row r="234" spans="1:6" hidden="1" x14ac:dyDescent="0.25">
      <c r="A234" s="102"/>
      <c r="B234" s="103"/>
      <c r="C234" s="66"/>
      <c r="D234" s="81"/>
      <c r="E234" s="19"/>
      <c r="F234" s="20"/>
    </row>
    <row r="235" spans="1:6" x14ac:dyDescent="0.25">
      <c r="A235" s="105">
        <v>6</v>
      </c>
      <c r="B235" s="63" t="s">
        <v>74</v>
      </c>
      <c r="C235" s="66"/>
      <c r="D235" s="81"/>
      <c r="E235" s="19"/>
      <c r="F235" s="20"/>
    </row>
    <row r="236" spans="1:6" x14ac:dyDescent="0.25">
      <c r="A236" s="102">
        <v>6.1</v>
      </c>
      <c r="B236" s="103" t="s">
        <v>70</v>
      </c>
      <c r="C236" s="66">
        <v>1300</v>
      </c>
      <c r="D236" s="81" t="s">
        <v>40</v>
      </c>
      <c r="E236" s="19">
        <f>+'Presupuesto Actual compl'!E76-E74</f>
        <v>11.969999999999999</v>
      </c>
      <c r="F236" s="20">
        <f>+'Presupuesto Actual compl'!F76-'Presupuesto actualizado'!F74</f>
        <v>15561</v>
      </c>
    </row>
    <row r="237" spans="1:6" hidden="1" x14ac:dyDescent="0.25">
      <c r="A237" s="102">
        <v>6.2</v>
      </c>
      <c r="B237" s="103" t="s">
        <v>71</v>
      </c>
      <c r="C237" s="66">
        <v>1250</v>
      </c>
      <c r="D237" s="81" t="s">
        <v>40</v>
      </c>
      <c r="E237" s="19">
        <f>+'Presupuesto Actual compl'!E77-E75</f>
        <v>0</v>
      </c>
      <c r="F237" s="20">
        <f>+'Presupuesto Actual compl'!F77-'Presupuesto actualizado'!F75</f>
        <v>0</v>
      </c>
    </row>
    <row r="238" spans="1:6" hidden="1" x14ac:dyDescent="0.25">
      <c r="A238" s="102">
        <v>6.3</v>
      </c>
      <c r="B238" s="103" t="s">
        <v>72</v>
      </c>
      <c r="C238" s="66">
        <v>7310</v>
      </c>
      <c r="D238" s="81" t="s">
        <v>40</v>
      </c>
      <c r="E238" s="19">
        <f>+'Presupuesto Actual compl'!E78-E76</f>
        <v>0</v>
      </c>
      <c r="F238" s="20">
        <f>+'Presupuesto Actual compl'!F78-'Presupuesto actualizado'!F76</f>
        <v>0</v>
      </c>
    </row>
    <row r="239" spans="1:6" hidden="1" x14ac:dyDescent="0.25">
      <c r="A239" s="102">
        <v>6.4</v>
      </c>
      <c r="B239" s="103" t="s">
        <v>73</v>
      </c>
      <c r="C239" s="66">
        <v>11167</v>
      </c>
      <c r="D239" s="81" t="s">
        <v>40</v>
      </c>
      <c r="E239" s="19">
        <f>+'Presupuesto Actual compl'!E79-E77</f>
        <v>0</v>
      </c>
      <c r="F239" s="20">
        <f>+'Presupuesto Actual compl'!F79-'Presupuesto actualizado'!F77</f>
        <v>0</v>
      </c>
    </row>
    <row r="240" spans="1:6" x14ac:dyDescent="0.25">
      <c r="A240" s="102"/>
      <c r="B240" s="103"/>
      <c r="C240" s="66"/>
      <c r="D240" s="81"/>
      <c r="E240" s="19"/>
      <c r="F240" s="20"/>
    </row>
    <row r="241" spans="1:6" x14ac:dyDescent="0.25">
      <c r="A241" s="106">
        <v>7</v>
      </c>
      <c r="B241" s="65" t="s">
        <v>75</v>
      </c>
      <c r="C241" s="66"/>
      <c r="D241" s="81"/>
      <c r="E241" s="27"/>
      <c r="F241" s="20"/>
    </row>
    <row r="242" spans="1:6" x14ac:dyDescent="0.25">
      <c r="A242" s="106">
        <v>7.1</v>
      </c>
      <c r="B242" s="65" t="s">
        <v>76</v>
      </c>
      <c r="C242" s="66"/>
      <c r="D242" s="81"/>
      <c r="E242" s="27"/>
      <c r="F242" s="20"/>
    </row>
    <row r="243" spans="1:6" x14ac:dyDescent="0.25">
      <c r="A243" s="107" t="s">
        <v>77</v>
      </c>
      <c r="B243" s="61" t="s">
        <v>78</v>
      </c>
      <c r="C243" s="69">
        <v>1</v>
      </c>
      <c r="D243" s="57" t="s">
        <v>24</v>
      </c>
      <c r="E243" s="19">
        <f>+'Presupuesto Actual compl'!E83-E81</f>
        <v>1353.7856149999998</v>
      </c>
      <c r="F243" s="20">
        <f>+'Presupuesto Actual compl'!F83-'Presupuesto actualizado'!F81</f>
        <v>1353.7856149999998</v>
      </c>
    </row>
    <row r="244" spans="1:6" x14ac:dyDescent="0.25">
      <c r="A244" s="107" t="s">
        <v>79</v>
      </c>
      <c r="B244" s="61" t="s">
        <v>80</v>
      </c>
      <c r="C244" s="69">
        <v>1</v>
      </c>
      <c r="D244" s="57" t="s">
        <v>24</v>
      </c>
      <c r="E244" s="19">
        <f>+'Presupuesto Actual compl'!E84-E82</f>
        <v>1353.7856149999998</v>
      </c>
      <c r="F244" s="20">
        <f>+'Presupuesto Actual compl'!F84-'Presupuesto actualizado'!F82</f>
        <v>1353.7856149999998</v>
      </c>
    </row>
    <row r="245" spans="1:6" x14ac:dyDescent="0.25">
      <c r="A245" s="107" t="s">
        <v>81</v>
      </c>
      <c r="B245" s="61" t="s">
        <v>82</v>
      </c>
      <c r="C245" s="69">
        <v>3</v>
      </c>
      <c r="D245" s="57" t="s">
        <v>24</v>
      </c>
      <c r="E245" s="19">
        <f>+'Presupuesto Actual compl'!E85-E83</f>
        <v>1353.7856149999998</v>
      </c>
      <c r="F245" s="20">
        <f>+'Presupuesto Actual compl'!F85-'Presupuesto actualizado'!F83</f>
        <v>4061.3568450000021</v>
      </c>
    </row>
    <row r="246" spans="1:6" x14ac:dyDescent="0.25">
      <c r="A246" s="107" t="s">
        <v>83</v>
      </c>
      <c r="B246" s="61" t="s">
        <v>26</v>
      </c>
      <c r="C246" s="69">
        <v>5</v>
      </c>
      <c r="D246" s="57" t="s">
        <v>24</v>
      </c>
      <c r="E246" s="19">
        <f>+'Presupuesto Actual compl'!E86-E84</f>
        <v>1353.7856149999998</v>
      </c>
      <c r="F246" s="20">
        <f>+'Presupuesto Actual compl'!F86-'Presupuesto actualizado'!F84</f>
        <v>6768.9280749999962</v>
      </c>
    </row>
    <row r="247" spans="1:6" x14ac:dyDescent="0.25">
      <c r="A247" s="107" t="s">
        <v>84</v>
      </c>
      <c r="B247" s="61" t="s">
        <v>85</v>
      </c>
      <c r="C247" s="69">
        <v>2</v>
      </c>
      <c r="D247" s="57" t="s">
        <v>24</v>
      </c>
      <c r="E247" s="19">
        <f>+'Presupuesto Actual compl'!E87-E85</f>
        <v>1353.7856149999998</v>
      </c>
      <c r="F247" s="20">
        <f>+'Presupuesto Actual compl'!F87-'Presupuesto actualizado'!F85</f>
        <v>2707.5712299999996</v>
      </c>
    </row>
    <row r="248" spans="1:6" x14ac:dyDescent="0.25">
      <c r="A248" s="107" t="s">
        <v>86</v>
      </c>
      <c r="B248" s="61" t="s">
        <v>87</v>
      </c>
      <c r="C248" s="69">
        <v>2</v>
      </c>
      <c r="D248" s="57" t="s">
        <v>24</v>
      </c>
      <c r="E248" s="19">
        <f>+'Presupuesto Actual compl'!E88-E86</f>
        <v>1353.7856149999998</v>
      </c>
      <c r="F248" s="20">
        <f>+'Presupuesto Actual compl'!F88-'Presupuesto actualizado'!F86</f>
        <v>2707.5712299999996</v>
      </c>
    </row>
    <row r="249" spans="1:6" x14ac:dyDescent="0.25">
      <c r="A249" s="107" t="s">
        <v>88</v>
      </c>
      <c r="B249" s="61" t="s">
        <v>89</v>
      </c>
      <c r="C249" s="69">
        <v>2</v>
      </c>
      <c r="D249" s="57" t="s">
        <v>24</v>
      </c>
      <c r="E249" s="19">
        <f>+'Presupuesto Actual compl'!E89-E87</f>
        <v>1353.7856149999998</v>
      </c>
      <c r="F249" s="20">
        <f>+'Presupuesto Actual compl'!F89-'Presupuesto actualizado'!F87</f>
        <v>2707.5712299999996</v>
      </c>
    </row>
    <row r="250" spans="1:6" x14ac:dyDescent="0.25">
      <c r="A250" s="107" t="s">
        <v>90</v>
      </c>
      <c r="B250" s="61" t="s">
        <v>91</v>
      </c>
      <c r="C250" s="66">
        <v>1</v>
      </c>
      <c r="D250" s="57" t="s">
        <v>24</v>
      </c>
      <c r="E250" s="19">
        <f>+'Presupuesto Actual compl'!E90-E88</f>
        <v>1353.7856149999998</v>
      </c>
      <c r="F250" s="20">
        <f>+'Presupuesto Actual compl'!F90-'Presupuesto actualizado'!F88</f>
        <v>1353.7856149999998</v>
      </c>
    </row>
    <row r="251" spans="1:6" x14ac:dyDescent="0.25">
      <c r="A251" s="107" t="s">
        <v>92</v>
      </c>
      <c r="B251" s="61" t="s">
        <v>93</v>
      </c>
      <c r="C251" s="66">
        <v>5</v>
      </c>
      <c r="D251" s="57" t="s">
        <v>24</v>
      </c>
      <c r="E251" s="19">
        <f>+'Presupuesto Actual compl'!E91-E89</f>
        <v>1353.7856149999998</v>
      </c>
      <c r="F251" s="20">
        <f>+'Presupuesto Actual compl'!F91-'Presupuesto actualizado'!F89</f>
        <v>6768.9280749999962</v>
      </c>
    </row>
    <row r="252" spans="1:6" x14ac:dyDescent="0.25">
      <c r="A252" s="107" t="s">
        <v>94</v>
      </c>
      <c r="B252" s="61" t="s">
        <v>95</v>
      </c>
      <c r="C252" s="66">
        <v>1</v>
      </c>
      <c r="D252" s="57" t="s">
        <v>24</v>
      </c>
      <c r="E252" s="19">
        <f>+'Presupuesto Actual compl'!E92-E90</f>
        <v>1353.7856149999998</v>
      </c>
      <c r="F252" s="20">
        <f>+'Presupuesto Actual compl'!F92-'Presupuesto actualizado'!F90</f>
        <v>1353.7856149999998</v>
      </c>
    </row>
    <row r="253" spans="1:6" x14ac:dyDescent="0.25">
      <c r="A253" s="107" t="s">
        <v>96</v>
      </c>
      <c r="B253" s="61" t="s">
        <v>97</v>
      </c>
      <c r="C253" s="66">
        <v>1</v>
      </c>
      <c r="D253" s="57" t="s">
        <v>24</v>
      </c>
      <c r="E253" s="19">
        <f>+'Presupuesto Actual compl'!E93-E91</f>
        <v>1353.7856149999998</v>
      </c>
      <c r="F253" s="20">
        <f>+'Presupuesto Actual compl'!F93-'Presupuesto actualizado'!F91</f>
        <v>1353.7856149999998</v>
      </c>
    </row>
    <row r="254" spans="1:6" x14ac:dyDescent="0.25">
      <c r="A254" s="107" t="s">
        <v>98</v>
      </c>
      <c r="B254" s="61" t="s">
        <v>99</v>
      </c>
      <c r="C254" s="66">
        <v>1</v>
      </c>
      <c r="D254" s="57" t="s">
        <v>24</v>
      </c>
      <c r="E254" s="19">
        <f>+'Presupuesto Actual compl'!E94-E92</f>
        <v>1353.7856149999998</v>
      </c>
      <c r="F254" s="20">
        <f>+'Presupuesto Actual compl'!F94-'Presupuesto actualizado'!F92</f>
        <v>1353.7856149999998</v>
      </c>
    </row>
    <row r="255" spans="1:6" x14ac:dyDescent="0.25">
      <c r="A255" s="107" t="s">
        <v>100</v>
      </c>
      <c r="B255" s="61" t="s">
        <v>101</v>
      </c>
      <c r="C255" s="66">
        <v>1</v>
      </c>
      <c r="D255" s="57" t="s">
        <v>24</v>
      </c>
      <c r="E255" s="19">
        <f>+'Presupuesto Actual compl'!E95-E93</f>
        <v>1353.7856149999998</v>
      </c>
      <c r="F255" s="20">
        <f>+'Presupuesto Actual compl'!F95-'Presupuesto actualizado'!F93</f>
        <v>1353.7856149999998</v>
      </c>
    </row>
    <row r="256" spans="1:6" x14ac:dyDescent="0.25">
      <c r="A256" s="108" t="s">
        <v>102</v>
      </c>
      <c r="B256" s="109" t="s">
        <v>103</v>
      </c>
      <c r="C256" s="90">
        <v>2</v>
      </c>
      <c r="D256" s="110" t="s">
        <v>24</v>
      </c>
      <c r="E256" s="19">
        <f>+'Presupuesto Actual compl'!E96-E94</f>
        <v>1353.7856149999998</v>
      </c>
      <c r="F256" s="20">
        <f>+'Presupuesto Actual compl'!F96-'Presupuesto actualizado'!F94</f>
        <v>2707.5712299999996</v>
      </c>
    </row>
    <row r="257" spans="1:6" x14ac:dyDescent="0.25">
      <c r="A257" s="107"/>
      <c r="B257" s="61"/>
      <c r="C257" s="69"/>
      <c r="D257" s="57"/>
      <c r="E257" s="24"/>
      <c r="F257" s="20"/>
    </row>
    <row r="258" spans="1:6" x14ac:dyDescent="0.25">
      <c r="A258" s="111">
        <v>7.2</v>
      </c>
      <c r="B258" s="65" t="s">
        <v>104</v>
      </c>
      <c r="C258" s="69"/>
      <c r="D258" s="57"/>
      <c r="E258" s="24"/>
      <c r="F258" s="20"/>
    </row>
    <row r="259" spans="1:6" x14ac:dyDescent="0.25">
      <c r="A259" s="107" t="s">
        <v>105</v>
      </c>
      <c r="B259" s="61" t="s">
        <v>106</v>
      </c>
      <c r="C259" s="69">
        <v>7</v>
      </c>
      <c r="D259" s="57" t="s">
        <v>24</v>
      </c>
      <c r="E259" s="19">
        <f>+'Presupuesto Actual compl'!E99-E97</f>
        <v>2.4356149999994159</v>
      </c>
      <c r="F259" s="20">
        <f>+'Presupuesto Actual compl'!F99-'Presupuesto actualizado'!F97</f>
        <v>17.049305000000459</v>
      </c>
    </row>
    <row r="260" spans="1:6" x14ac:dyDescent="0.25">
      <c r="A260" s="107" t="s">
        <v>107</v>
      </c>
      <c r="B260" s="61" t="s">
        <v>108</v>
      </c>
      <c r="C260" s="69">
        <v>3</v>
      </c>
      <c r="D260" s="57" t="s">
        <v>24</v>
      </c>
      <c r="E260" s="19">
        <f>+'Presupuesto Actual compl'!E100-E98</f>
        <v>2.4356149999994159</v>
      </c>
      <c r="F260" s="20">
        <f>+'Presupuesto Actual compl'!F100-'Presupuesto actualizado'!F98</f>
        <v>7.3068449999991572</v>
      </c>
    </row>
    <row r="261" spans="1:6" x14ac:dyDescent="0.25">
      <c r="A261" s="107" t="s">
        <v>109</v>
      </c>
      <c r="B261" s="61" t="s">
        <v>110</v>
      </c>
      <c r="C261" s="69">
        <v>10</v>
      </c>
      <c r="D261" s="57" t="s">
        <v>24</v>
      </c>
      <c r="E261" s="19">
        <f>+'Presupuesto Actual compl'!E101-E99</f>
        <v>2.4356149999994159</v>
      </c>
      <c r="F261" s="20">
        <f>+'Presupuesto Actual compl'!F101-'Presupuesto actualizado'!F99</f>
        <v>24.35614999999234</v>
      </c>
    </row>
    <row r="262" spans="1:6" x14ac:dyDescent="0.25">
      <c r="A262" s="107" t="s">
        <v>111</v>
      </c>
      <c r="B262" s="61" t="s">
        <v>112</v>
      </c>
      <c r="C262" s="69">
        <v>18</v>
      </c>
      <c r="D262" s="57" t="s">
        <v>24</v>
      </c>
      <c r="E262" s="19">
        <f>+'Presupuesto Actual compl'!E102-E100</f>
        <v>2.4356149999994159</v>
      </c>
      <c r="F262" s="20">
        <f>+'Presupuesto Actual compl'!F102-'Presupuesto actualizado'!F100</f>
        <v>43.841069999980391</v>
      </c>
    </row>
    <row r="263" spans="1:6" x14ac:dyDescent="0.25">
      <c r="A263" s="107" t="s">
        <v>113</v>
      </c>
      <c r="B263" s="61" t="s">
        <v>114</v>
      </c>
      <c r="C263" s="66">
        <v>35</v>
      </c>
      <c r="D263" s="57" t="s">
        <v>24</v>
      </c>
      <c r="E263" s="19">
        <f>+'Presupuesto Actual compl'!E103-E101</f>
        <v>2.4356149999994159</v>
      </c>
      <c r="F263" s="20">
        <f>+'Presupuesto Actual compl'!F103-'Presupuesto actualizado'!F101</f>
        <v>85.246524999995017</v>
      </c>
    </row>
    <row r="264" spans="1:6" x14ac:dyDescent="0.25">
      <c r="A264" s="107" t="s">
        <v>115</v>
      </c>
      <c r="B264" s="61" t="s">
        <v>116</v>
      </c>
      <c r="C264" s="56">
        <v>4</v>
      </c>
      <c r="D264" s="57" t="s">
        <v>24</v>
      </c>
      <c r="E264" s="19">
        <f>+'Presupuesto Actual compl'!E104-E102</f>
        <v>2.4356149999994159</v>
      </c>
      <c r="F264" s="20">
        <f>+'Presupuesto Actual compl'!F104-'Presupuesto actualizado'!F102</f>
        <v>9.7424599999976635</v>
      </c>
    </row>
    <row r="265" spans="1:6" x14ac:dyDescent="0.25">
      <c r="A265" s="107" t="s">
        <v>117</v>
      </c>
      <c r="B265" s="61" t="s">
        <v>118</v>
      </c>
      <c r="C265" s="56">
        <v>41</v>
      </c>
      <c r="D265" s="57" t="s">
        <v>24</v>
      </c>
      <c r="E265" s="19">
        <f>+'Presupuesto Actual compl'!E105-E103</f>
        <v>2.4356149999994159</v>
      </c>
      <c r="F265" s="20">
        <f>+'Presupuesto Actual compl'!F105-'Presupuesto actualizado'!F103</f>
        <v>99.860214999993332</v>
      </c>
    </row>
    <row r="266" spans="1:6" x14ac:dyDescent="0.25">
      <c r="A266" s="107" t="s">
        <v>119</v>
      </c>
      <c r="B266" s="61" t="s">
        <v>120</v>
      </c>
      <c r="C266" s="56">
        <v>44</v>
      </c>
      <c r="D266" s="57" t="s">
        <v>24</v>
      </c>
      <c r="E266" s="19">
        <f>+'Presupuesto Actual compl'!E106-E104</f>
        <v>2.4356149999994159</v>
      </c>
      <c r="F266" s="20">
        <f>+'Presupuesto Actual compl'!F106-'Presupuesto actualizado'!F104</f>
        <v>107.16705999997794</v>
      </c>
    </row>
    <row r="267" spans="1:6" x14ac:dyDescent="0.25">
      <c r="A267" s="107" t="s">
        <v>121</v>
      </c>
      <c r="B267" s="61" t="s">
        <v>122</v>
      </c>
      <c r="C267" s="69">
        <v>15</v>
      </c>
      <c r="D267" s="57" t="s">
        <v>24</v>
      </c>
      <c r="E267" s="19">
        <f>+'Presupuesto Actual compl'!E107-E105</f>
        <v>2.4356149999994159</v>
      </c>
      <c r="F267" s="20">
        <f>+'Presupuesto Actual compl'!F107-'Presupuesto actualizado'!F105</f>
        <v>36.534224999981234</v>
      </c>
    </row>
    <row r="268" spans="1:6" ht="13.8" hidden="1" x14ac:dyDescent="0.25">
      <c r="A268" s="107" t="s">
        <v>123</v>
      </c>
      <c r="B268" s="61" t="s">
        <v>124</v>
      </c>
      <c r="C268" s="69">
        <v>46</v>
      </c>
      <c r="D268" s="57" t="s">
        <v>24</v>
      </c>
      <c r="E268" s="19">
        <f>+'Presupuesto Actual compl'!E108-E106</f>
        <v>0</v>
      </c>
      <c r="F268" s="20">
        <f>+'Presupuesto Actual compl'!F108-'Presupuesto actualizado'!F106</f>
        <v>0</v>
      </c>
    </row>
    <row r="269" spans="1:6" hidden="1" x14ac:dyDescent="0.25">
      <c r="A269" s="107" t="s">
        <v>125</v>
      </c>
      <c r="B269" s="61" t="s">
        <v>126</v>
      </c>
      <c r="C269" s="69">
        <v>510</v>
      </c>
      <c r="D269" s="57" t="s">
        <v>24</v>
      </c>
      <c r="E269" s="19">
        <f>+'Presupuesto Actual compl'!E109-E107</f>
        <v>0</v>
      </c>
      <c r="F269" s="20">
        <f>+'Presupuesto Actual compl'!F109-'Presupuesto actualizado'!F107</f>
        <v>0</v>
      </c>
    </row>
    <row r="270" spans="1:6" hidden="1" x14ac:dyDescent="0.25">
      <c r="A270" s="107" t="s">
        <v>127</v>
      </c>
      <c r="B270" s="112" t="s">
        <v>128</v>
      </c>
      <c r="C270" s="69">
        <v>177</v>
      </c>
      <c r="D270" s="57" t="s">
        <v>24</v>
      </c>
      <c r="E270" s="19">
        <f>+'Presupuesto Actual compl'!E110-E108</f>
        <v>0</v>
      </c>
      <c r="F270" s="20">
        <f>+'Presupuesto Actual compl'!F110-'Presupuesto actualizado'!F108</f>
        <v>0</v>
      </c>
    </row>
    <row r="271" spans="1:6" hidden="1" x14ac:dyDescent="0.25">
      <c r="A271" s="107" t="s">
        <v>129</v>
      </c>
      <c r="B271" s="61" t="s">
        <v>130</v>
      </c>
      <c r="C271" s="69">
        <v>46</v>
      </c>
      <c r="D271" s="57" t="s">
        <v>24</v>
      </c>
      <c r="E271" s="19">
        <f>+'Presupuesto Actual compl'!E111-E109</f>
        <v>0</v>
      </c>
      <c r="F271" s="20">
        <f>+'Presupuesto Actual compl'!F111-'Presupuesto actualizado'!F109</f>
        <v>0</v>
      </c>
    </row>
    <row r="272" spans="1:6" x14ac:dyDescent="0.25">
      <c r="A272" s="113"/>
      <c r="B272" s="114"/>
      <c r="C272" s="115"/>
      <c r="D272" s="81"/>
      <c r="E272" s="27"/>
      <c r="F272" s="20"/>
    </row>
    <row r="273" spans="1:6" x14ac:dyDescent="0.25">
      <c r="A273" s="116">
        <v>8</v>
      </c>
      <c r="B273" s="117" t="s">
        <v>131</v>
      </c>
      <c r="C273" s="69"/>
      <c r="D273" s="57"/>
      <c r="E273" s="24"/>
      <c r="F273" s="20"/>
    </row>
    <row r="274" spans="1:6" x14ac:dyDescent="0.25">
      <c r="A274" s="118">
        <v>8.1</v>
      </c>
      <c r="B274" s="61" t="s">
        <v>132</v>
      </c>
      <c r="C274" s="69">
        <v>27</v>
      </c>
      <c r="D274" s="57" t="s">
        <v>24</v>
      </c>
      <c r="E274" s="19">
        <f>+'Presupuesto Actual compl'!E114-E112</f>
        <v>7057.6560000000009</v>
      </c>
      <c r="F274" s="20">
        <f>+'Presupuesto Actual compl'!F114-'Presupuesto actualizado'!F112</f>
        <v>190556.712</v>
      </c>
    </row>
    <row r="275" spans="1:6" x14ac:dyDescent="0.25">
      <c r="A275" s="118">
        <v>8.1999999999999993</v>
      </c>
      <c r="B275" s="88" t="s">
        <v>133</v>
      </c>
      <c r="C275" s="69">
        <v>22</v>
      </c>
      <c r="D275" s="57" t="s">
        <v>24</v>
      </c>
      <c r="E275" s="19">
        <f>+'Presupuesto Actual compl'!E115-E113</f>
        <v>5339.4580000000005</v>
      </c>
      <c r="F275" s="20">
        <f>+'Presupuesto Actual compl'!F115-'Presupuesto actualizado'!F113</f>
        <v>117468.076</v>
      </c>
    </row>
    <row r="276" spans="1:6" x14ac:dyDescent="0.25">
      <c r="A276" s="118">
        <v>8.3000000000000007</v>
      </c>
      <c r="B276" s="88" t="s">
        <v>134</v>
      </c>
      <c r="C276" s="69">
        <v>7</v>
      </c>
      <c r="D276" s="57" t="s">
        <v>24</v>
      </c>
      <c r="E276" s="19">
        <f>+'Presupuesto Actual compl'!E116-E114</f>
        <v>3819.1350000000002</v>
      </c>
      <c r="F276" s="20">
        <f>+'Presupuesto Actual compl'!F116-'Presupuesto actualizado'!F114</f>
        <v>26733.945</v>
      </c>
    </row>
    <row r="277" spans="1:6" x14ac:dyDescent="0.25">
      <c r="A277" s="118">
        <v>8.4</v>
      </c>
      <c r="B277" s="61" t="s">
        <v>135</v>
      </c>
      <c r="C277" s="69">
        <v>16</v>
      </c>
      <c r="D277" s="57" t="s">
        <v>24</v>
      </c>
      <c r="E277" s="19">
        <f>+'Presupuesto Actual compl'!E117-E115</f>
        <v>3657.4639999999999</v>
      </c>
      <c r="F277" s="20">
        <f>+'Presupuesto Actual compl'!F117-'Presupuesto actualizado'!F115</f>
        <v>58519.423999999999</v>
      </c>
    </row>
    <row r="278" spans="1:6" x14ac:dyDescent="0.25">
      <c r="A278" s="118"/>
      <c r="B278" s="61"/>
      <c r="C278" s="69"/>
      <c r="D278" s="57"/>
      <c r="E278" s="24"/>
      <c r="F278" s="20"/>
    </row>
    <row r="279" spans="1:6" x14ac:dyDescent="0.25">
      <c r="A279" s="119">
        <v>9</v>
      </c>
      <c r="B279" s="120" t="s">
        <v>136</v>
      </c>
      <c r="C279" s="66"/>
      <c r="D279" s="57"/>
      <c r="E279" s="28"/>
      <c r="F279" s="20"/>
    </row>
    <row r="280" spans="1:6" x14ac:dyDescent="0.25">
      <c r="A280" s="92">
        <v>9.1</v>
      </c>
      <c r="B280" s="217" t="s">
        <v>137</v>
      </c>
      <c r="C280" s="66">
        <v>2</v>
      </c>
      <c r="D280" s="57" t="s">
        <v>24</v>
      </c>
      <c r="E280" s="19">
        <f>+'Presupuesto Actual compl'!E120-E118</f>
        <v>40902.633782383404</v>
      </c>
      <c r="F280" s="20">
        <f>+'Presupuesto Actual compl'!F120-'Presupuesto actualizado'!F118</f>
        <v>81805.267564766807</v>
      </c>
    </row>
    <row r="281" spans="1:6" hidden="1" x14ac:dyDescent="0.25">
      <c r="A281" s="92">
        <v>9.1999999999999993</v>
      </c>
      <c r="B281" s="217" t="s">
        <v>138</v>
      </c>
      <c r="C281" s="66">
        <v>1</v>
      </c>
      <c r="D281" s="57" t="s">
        <v>24</v>
      </c>
      <c r="E281" s="19">
        <f>+'Presupuesto Actual compl'!E121-E119</f>
        <v>0</v>
      </c>
      <c r="F281" s="20">
        <f>+'Presupuesto Actual compl'!F121-'Presupuesto actualizado'!F119</f>
        <v>0</v>
      </c>
    </row>
    <row r="282" spans="1:6" x14ac:dyDescent="0.25">
      <c r="A282" s="113"/>
      <c r="B282" s="114"/>
      <c r="C282" s="115"/>
      <c r="D282" s="57"/>
      <c r="E282" s="27"/>
      <c r="F282" s="20"/>
    </row>
    <row r="283" spans="1:6" x14ac:dyDescent="0.25">
      <c r="A283" s="116">
        <v>10</v>
      </c>
      <c r="B283" s="63" t="s">
        <v>139</v>
      </c>
      <c r="C283" s="66"/>
      <c r="D283" s="57"/>
      <c r="E283" s="24"/>
      <c r="F283" s="20"/>
    </row>
    <row r="284" spans="1:6" ht="39.6" x14ac:dyDescent="0.25">
      <c r="A284" s="118">
        <v>10.1</v>
      </c>
      <c r="B284" s="122" t="s">
        <v>140</v>
      </c>
      <c r="C284" s="123">
        <v>2</v>
      </c>
      <c r="D284" s="57" t="s">
        <v>24</v>
      </c>
      <c r="E284" s="19">
        <f>+'Presupuesto Actual compl'!E124-E122</f>
        <v>54590.380999999994</v>
      </c>
      <c r="F284" s="20">
        <f>+'Presupuesto Actual compl'!F124-'Presupuesto actualizado'!F122</f>
        <v>109180.76199999999</v>
      </c>
    </row>
    <row r="285" spans="1:6" ht="39.6" x14ac:dyDescent="0.25">
      <c r="A285" s="118">
        <v>10.199999999999999</v>
      </c>
      <c r="B285" s="122" t="s">
        <v>141</v>
      </c>
      <c r="C285" s="123">
        <v>1</v>
      </c>
      <c r="D285" s="57" t="s">
        <v>24</v>
      </c>
      <c r="E285" s="19">
        <f>+'Presupuesto Actual compl'!E125-E123</f>
        <v>13750.699999999997</v>
      </c>
      <c r="F285" s="20">
        <f>+'Presupuesto Actual compl'!F125-'Presupuesto actualizado'!F123</f>
        <v>13750.699999999997</v>
      </c>
    </row>
    <row r="286" spans="1:6" ht="39.6" x14ac:dyDescent="0.25">
      <c r="A286" s="118">
        <v>10.3</v>
      </c>
      <c r="B286" s="122" t="s">
        <v>142</v>
      </c>
      <c r="C286" s="123">
        <v>13</v>
      </c>
      <c r="D286" s="57" t="s">
        <v>24</v>
      </c>
      <c r="E286" s="19">
        <f>+'Presupuesto Actual compl'!E126-E124</f>
        <v>10800.754000000001</v>
      </c>
      <c r="F286" s="20">
        <f>+'Presupuesto Actual compl'!F126-'Presupuesto actualizado'!F124</f>
        <v>140409.80200000003</v>
      </c>
    </row>
    <row r="287" spans="1:6" ht="39.6" x14ac:dyDescent="0.25">
      <c r="A287" s="118">
        <v>10.4</v>
      </c>
      <c r="B287" s="122" t="s">
        <v>143</v>
      </c>
      <c r="C287" s="123">
        <v>13</v>
      </c>
      <c r="D287" s="57" t="s">
        <v>24</v>
      </c>
      <c r="E287" s="19">
        <f>+'Presupuesto Actual compl'!E127-E125</f>
        <v>1575.5220000000045</v>
      </c>
      <c r="F287" s="20">
        <f>+'Presupuesto Actual compl'!F127-'Presupuesto actualizado'!F125</f>
        <v>20481.78600000008</v>
      </c>
    </row>
    <row r="288" spans="1:6" hidden="1" x14ac:dyDescent="0.25">
      <c r="A288" s="118">
        <v>10.5</v>
      </c>
      <c r="B288" s="122" t="s">
        <v>144</v>
      </c>
      <c r="C288" s="69">
        <v>18</v>
      </c>
      <c r="D288" s="57" t="s">
        <v>24</v>
      </c>
      <c r="E288" s="19">
        <f>+'Presupuesto Actual compl'!E128-E126</f>
        <v>0</v>
      </c>
      <c r="F288" s="20">
        <f>+'Presupuesto Actual compl'!F128-'Presupuesto actualizado'!F126</f>
        <v>0</v>
      </c>
    </row>
    <row r="289" spans="1:7" hidden="1" x14ac:dyDescent="0.25">
      <c r="A289" s="118">
        <v>10.6</v>
      </c>
      <c r="B289" s="122" t="s">
        <v>145</v>
      </c>
      <c r="C289" s="69">
        <v>2</v>
      </c>
      <c r="D289" s="57" t="s">
        <v>24</v>
      </c>
      <c r="E289" s="19">
        <f>+'Presupuesto Actual compl'!E129-E127</f>
        <v>0</v>
      </c>
      <c r="F289" s="20">
        <f>+'Presupuesto Actual compl'!F129-'Presupuesto actualizado'!F127</f>
        <v>0</v>
      </c>
    </row>
    <row r="290" spans="1:7" x14ac:dyDescent="0.25">
      <c r="A290" s="124"/>
      <c r="B290" s="125"/>
      <c r="C290" s="126"/>
      <c r="D290" s="127"/>
      <c r="E290" s="29"/>
      <c r="F290" s="20"/>
    </row>
    <row r="291" spans="1:7" x14ac:dyDescent="0.25">
      <c r="A291" s="116">
        <v>11</v>
      </c>
      <c r="B291" s="117" t="s">
        <v>146</v>
      </c>
      <c r="C291" s="123"/>
      <c r="D291" s="128"/>
      <c r="E291" s="30"/>
      <c r="F291" s="20"/>
    </row>
    <row r="292" spans="1:7" ht="26.4" x14ac:dyDescent="0.25">
      <c r="A292" s="129">
        <v>11.1</v>
      </c>
      <c r="B292" s="130" t="s">
        <v>147</v>
      </c>
      <c r="C292" s="131">
        <v>408</v>
      </c>
      <c r="D292" s="132" t="s">
        <v>24</v>
      </c>
      <c r="E292" s="19">
        <f>+'Presupuesto Actual compl'!E132-E130</f>
        <v>2404.6799999999994</v>
      </c>
      <c r="F292" s="20">
        <f>+'Presupuesto Actual compl'!F132-'Presupuesto actualizado'!F130</f>
        <v>981109.43999999971</v>
      </c>
    </row>
    <row r="293" spans="1:7" x14ac:dyDescent="0.25">
      <c r="A293" s="133"/>
      <c r="B293" s="61"/>
      <c r="C293" s="66"/>
      <c r="D293" s="134"/>
      <c r="E293" s="24"/>
      <c r="F293" s="20"/>
    </row>
    <row r="294" spans="1:7" hidden="1" x14ac:dyDescent="0.25">
      <c r="A294" s="50">
        <v>12</v>
      </c>
      <c r="B294" s="135" t="s">
        <v>148</v>
      </c>
      <c r="C294" s="66"/>
      <c r="D294" s="134"/>
      <c r="E294" s="24"/>
      <c r="F294" s="20"/>
    </row>
    <row r="295" spans="1:7" ht="26.4" hidden="1" x14ac:dyDescent="0.25">
      <c r="A295" s="136">
        <v>12.1</v>
      </c>
      <c r="B295" s="216" t="s">
        <v>33</v>
      </c>
      <c r="C295" s="97">
        <v>13824</v>
      </c>
      <c r="D295" s="137" t="s">
        <v>40</v>
      </c>
      <c r="E295" s="19">
        <f>+'Presupuesto Actual compl'!E135-E133</f>
        <v>0</v>
      </c>
      <c r="F295" s="20">
        <f>+'Presupuesto Actual compl'!F135-'Presupuesto actualizado'!F133</f>
        <v>0</v>
      </c>
    </row>
    <row r="296" spans="1:7" ht="39.6" hidden="1" x14ac:dyDescent="0.25">
      <c r="A296" s="136">
        <v>12.2</v>
      </c>
      <c r="B296" s="216" t="s">
        <v>149</v>
      </c>
      <c r="C296" s="97">
        <v>13824</v>
      </c>
      <c r="D296" s="137" t="s">
        <v>40</v>
      </c>
      <c r="E296" s="19">
        <f>+'Presupuesto Actual compl'!E136-E134</f>
        <v>0</v>
      </c>
      <c r="F296" s="20">
        <f>+'Presupuesto Actual compl'!F136-'Presupuesto actualizado'!F134</f>
        <v>0</v>
      </c>
    </row>
    <row r="297" spans="1:7" hidden="1" x14ac:dyDescent="0.25">
      <c r="A297" s="138"/>
      <c r="B297" s="61"/>
      <c r="C297" s="134"/>
      <c r="D297" s="139"/>
      <c r="E297" s="24"/>
      <c r="F297" s="20"/>
    </row>
    <row r="298" spans="1:7" x14ac:dyDescent="0.25">
      <c r="A298" s="50">
        <v>13</v>
      </c>
      <c r="B298" s="140" t="s">
        <v>150</v>
      </c>
      <c r="C298" s="141"/>
      <c r="D298" s="85"/>
      <c r="E298" s="24"/>
      <c r="F298" s="20"/>
    </row>
    <row r="299" spans="1:7" ht="15.6" x14ac:dyDescent="0.25">
      <c r="A299" s="118">
        <v>13.1</v>
      </c>
      <c r="B299" s="72" t="s">
        <v>151</v>
      </c>
      <c r="C299" s="142">
        <v>10368</v>
      </c>
      <c r="D299" s="143" t="s">
        <v>152</v>
      </c>
      <c r="E299" s="19">
        <f>+'Presupuesto Actual compl'!E139-E137</f>
        <v>56.125555555555593</v>
      </c>
      <c r="F299" s="20">
        <f>+'Presupuesto Actual compl'!F139-'Presupuesto actualizado'!F137</f>
        <v>581909.75784615427</v>
      </c>
    </row>
    <row r="300" spans="1:7" ht="15.6" x14ac:dyDescent="0.25">
      <c r="A300" s="118">
        <v>13.2</v>
      </c>
      <c r="B300" s="72" t="s">
        <v>153</v>
      </c>
      <c r="C300" s="144">
        <v>10368</v>
      </c>
      <c r="D300" s="145" t="s">
        <v>152</v>
      </c>
      <c r="E300" s="19">
        <f>+'Presupuesto Actual compl'!E140-E138</f>
        <v>308.5612903225807</v>
      </c>
      <c r="F300" s="20">
        <f>+'Presupuesto Actual compl'!F140-'Presupuesto actualizado'!F138</f>
        <v>3199163.462096775</v>
      </c>
    </row>
    <row r="301" spans="1:7" ht="13.8" hidden="1" x14ac:dyDescent="0.25">
      <c r="A301" s="118">
        <v>13.3</v>
      </c>
      <c r="B301" s="72" t="s">
        <v>154</v>
      </c>
      <c r="C301" s="62">
        <v>25920</v>
      </c>
      <c r="D301" s="146" t="s">
        <v>155</v>
      </c>
      <c r="E301" s="19">
        <f>+'Presupuesto Actual compl'!E141-E139</f>
        <v>0</v>
      </c>
      <c r="F301" s="20">
        <f>+'Presupuesto Actual compl'!F141-'Presupuesto actualizado'!F139</f>
        <v>0</v>
      </c>
    </row>
    <row r="302" spans="1:7" x14ac:dyDescent="0.25">
      <c r="A302" s="118"/>
      <c r="B302" s="103"/>
      <c r="C302" s="62"/>
      <c r="D302" s="146"/>
      <c r="E302" s="19"/>
      <c r="F302" s="20"/>
    </row>
    <row r="303" spans="1:7" x14ac:dyDescent="0.25">
      <c r="A303" s="118">
        <v>14</v>
      </c>
      <c r="B303" s="72" t="s">
        <v>156</v>
      </c>
      <c r="C303" s="66">
        <v>13824</v>
      </c>
      <c r="D303" s="134" t="s">
        <v>40</v>
      </c>
      <c r="E303" s="19">
        <f>+'Presupuesto Actual compl'!E143-E141</f>
        <v>12.100000000000001</v>
      </c>
      <c r="F303" s="20">
        <f>+'Presupuesto Actual compl'!F143-'Presupuesto actualizado'!F141</f>
        <v>167270.40020000003</v>
      </c>
      <c r="G303" s="472"/>
    </row>
    <row r="304" spans="1:7" x14ac:dyDescent="0.25">
      <c r="A304" s="147"/>
      <c r="B304" s="148" t="s">
        <v>157</v>
      </c>
      <c r="C304" s="149"/>
      <c r="D304" s="150"/>
      <c r="E304" s="34"/>
      <c r="F304" s="34">
        <f>+SUBTOTAL(109,F205:F303)</f>
        <v>13325039.866048846</v>
      </c>
      <c r="G304" s="472"/>
    </row>
    <row r="305" spans="1:6" x14ac:dyDescent="0.25">
      <c r="A305" s="151"/>
      <c r="B305" s="58"/>
      <c r="C305" s="59"/>
      <c r="D305" s="60"/>
      <c r="E305" s="33"/>
      <c r="F305" s="20"/>
    </row>
    <row r="306" spans="1:6" x14ac:dyDescent="0.25">
      <c r="A306" s="152" t="s">
        <v>158</v>
      </c>
      <c r="B306" s="153" t="s">
        <v>159</v>
      </c>
      <c r="C306" s="154"/>
      <c r="D306" s="155"/>
      <c r="E306" s="35"/>
      <c r="F306" s="20"/>
    </row>
    <row r="307" spans="1:6" x14ac:dyDescent="0.25">
      <c r="A307" s="156"/>
      <c r="B307" s="157"/>
      <c r="C307" s="158"/>
      <c r="D307" s="159"/>
      <c r="E307" s="1"/>
      <c r="F307" s="20"/>
    </row>
    <row r="308" spans="1:6" hidden="1" x14ac:dyDescent="0.25">
      <c r="A308" s="156">
        <v>1</v>
      </c>
      <c r="B308" s="157" t="s">
        <v>160</v>
      </c>
      <c r="C308" s="158"/>
      <c r="D308" s="159"/>
      <c r="E308" s="1"/>
      <c r="F308" s="20"/>
    </row>
    <row r="309" spans="1:6" hidden="1" x14ac:dyDescent="0.25">
      <c r="A309" s="160">
        <v>1.1000000000000001</v>
      </c>
      <c r="B309" s="157" t="s">
        <v>161</v>
      </c>
      <c r="C309" s="158"/>
      <c r="D309" s="159"/>
      <c r="E309" s="1"/>
      <c r="F309" s="20"/>
    </row>
    <row r="310" spans="1:6" hidden="1" x14ac:dyDescent="0.25">
      <c r="A310" s="161" t="s">
        <v>162</v>
      </c>
      <c r="B310" s="61" t="s">
        <v>163</v>
      </c>
      <c r="C310" s="62">
        <v>29.3</v>
      </c>
      <c r="D310" s="57" t="s">
        <v>164</v>
      </c>
      <c r="E310" s="19">
        <f>+'Presupuesto Actual compl'!E150-E148</f>
        <v>0</v>
      </c>
      <c r="F310" s="20">
        <f>+'Presupuesto Actual compl'!F150-'Presupuesto actualizado'!F148</f>
        <v>0</v>
      </c>
    </row>
    <row r="311" spans="1:6" ht="26.4" hidden="1" x14ac:dyDescent="0.25">
      <c r="A311" s="161" t="s">
        <v>165</v>
      </c>
      <c r="B311" s="72" t="s">
        <v>166</v>
      </c>
      <c r="C311" s="62">
        <v>38.090000000000003</v>
      </c>
      <c r="D311" s="57" t="s">
        <v>164</v>
      </c>
      <c r="E311" s="19">
        <f>+'Presupuesto Actual compl'!E151-E149</f>
        <v>0</v>
      </c>
      <c r="F311" s="20">
        <f>+'Presupuesto Actual compl'!F151-'Presupuesto actualizado'!F149</f>
        <v>0</v>
      </c>
    </row>
    <row r="312" spans="1:6" hidden="1" x14ac:dyDescent="0.25">
      <c r="A312" s="156"/>
      <c r="B312" s="157"/>
      <c r="C312" s="158"/>
      <c r="D312" s="159"/>
      <c r="E312" s="1"/>
      <c r="F312" s="20"/>
    </row>
    <row r="313" spans="1:6" x14ac:dyDescent="0.25">
      <c r="A313" s="160">
        <v>1.2</v>
      </c>
      <c r="B313" s="63" t="s">
        <v>167</v>
      </c>
      <c r="C313" s="62"/>
      <c r="D313" s="57"/>
      <c r="E313" s="1"/>
      <c r="F313" s="20"/>
    </row>
    <row r="314" spans="1:6" x14ac:dyDescent="0.25">
      <c r="A314" s="161" t="s">
        <v>168</v>
      </c>
      <c r="B314" s="61" t="s">
        <v>169</v>
      </c>
      <c r="C314" s="62">
        <v>244.2</v>
      </c>
      <c r="D314" s="57" t="s">
        <v>40</v>
      </c>
      <c r="E314" s="19">
        <f>+'Presupuesto Actual compl'!E154-E152</f>
        <v>228.68825910931173</v>
      </c>
      <c r="F314" s="20">
        <f>+'Presupuesto Actual compl'!F154-'Presupuesto actualizado'!F152</f>
        <v>55845.672874493932</v>
      </c>
    </row>
    <row r="315" spans="1:6" x14ac:dyDescent="0.25">
      <c r="A315" s="161" t="s">
        <v>170</v>
      </c>
      <c r="B315" s="162" t="s">
        <v>171</v>
      </c>
      <c r="C315" s="62">
        <v>195.36</v>
      </c>
      <c r="D315" s="57" t="s">
        <v>172</v>
      </c>
      <c r="E315" s="19">
        <f>+'Presupuesto Actual compl'!E155-E153</f>
        <v>124.49000000000012</v>
      </c>
      <c r="F315" s="20">
        <f>+'Presupuesto Actual compl'!F155-'Presupuesto actualizado'!F153</f>
        <v>24320.366400000028</v>
      </c>
    </row>
    <row r="316" spans="1:6" x14ac:dyDescent="0.25">
      <c r="A316" s="147"/>
      <c r="B316" s="148" t="s">
        <v>173</v>
      </c>
      <c r="C316" s="149"/>
      <c r="D316" s="150"/>
      <c r="E316" s="34"/>
      <c r="F316" s="34">
        <f>SUM(F306:F315)</f>
        <v>80166.03927449396</v>
      </c>
    </row>
    <row r="317" spans="1:6" x14ac:dyDescent="0.25">
      <c r="A317" s="76"/>
      <c r="B317" s="163"/>
      <c r="C317" s="100"/>
      <c r="D317" s="81"/>
      <c r="E317" s="27"/>
      <c r="F317" s="20"/>
    </row>
    <row r="318" spans="1:6" x14ac:dyDescent="0.25">
      <c r="A318" s="151" t="s">
        <v>174</v>
      </c>
      <c r="B318" s="58" t="s">
        <v>175</v>
      </c>
      <c r="C318" s="141"/>
      <c r="D318" s="81"/>
      <c r="E318" s="1"/>
      <c r="F318" s="20"/>
    </row>
    <row r="319" spans="1:6" ht="52.8" hidden="1" x14ac:dyDescent="0.25">
      <c r="A319" s="118">
        <v>1</v>
      </c>
      <c r="B319" s="93" t="s">
        <v>176</v>
      </c>
      <c r="C319" s="100">
        <v>1</v>
      </c>
      <c r="D319" s="81" t="s">
        <v>24</v>
      </c>
      <c r="E319" s="19">
        <f>+'Presupuesto Actual compl'!E159-E157</f>
        <v>0</v>
      </c>
      <c r="F319" s="20">
        <f t="shared" ref="F319:F320" si="3">+E319*C319</f>
        <v>0</v>
      </c>
    </row>
    <row r="320" spans="1:6" ht="26.4" hidden="1" x14ac:dyDescent="0.25">
      <c r="A320" s="118">
        <v>2</v>
      </c>
      <c r="B320" s="164" t="s">
        <v>177</v>
      </c>
      <c r="C320" s="100">
        <v>10</v>
      </c>
      <c r="D320" s="81" t="s">
        <v>178</v>
      </c>
      <c r="E320" s="19">
        <f>+'Presupuesto Actual compl'!E160-E158</f>
        <v>0</v>
      </c>
      <c r="F320" s="20">
        <f t="shared" si="3"/>
        <v>0</v>
      </c>
    </row>
    <row r="321" spans="1:7" x14ac:dyDescent="0.25">
      <c r="A321" s="165"/>
      <c r="B321" s="166" t="s">
        <v>179</v>
      </c>
      <c r="C321" s="167"/>
      <c r="D321" s="150"/>
      <c r="E321" s="38"/>
      <c r="F321" s="39">
        <f>SUM(F318:F320)</f>
        <v>0</v>
      </c>
    </row>
    <row r="322" spans="1:7" ht="13.8" thickBot="1" x14ac:dyDescent="0.3">
      <c r="A322" s="76"/>
      <c r="B322" s="163"/>
      <c r="C322" s="100"/>
      <c r="D322" s="81"/>
      <c r="E322" s="27"/>
      <c r="F322" s="40"/>
    </row>
    <row r="323" spans="1:7" ht="13.8" thickBot="1" x14ac:dyDescent="0.3">
      <c r="A323" s="280"/>
      <c r="B323" s="281" t="s">
        <v>430</v>
      </c>
      <c r="C323" s="282"/>
      <c r="D323" s="283"/>
      <c r="E323" s="284"/>
      <c r="F323" s="285">
        <f>ROUNDDOWN(F201+F304+F316+F321,2)</f>
        <v>13423290.34</v>
      </c>
    </row>
    <row r="324" spans="1:7" ht="13.8" thickBot="1" x14ac:dyDescent="0.3">
      <c r="A324" s="274"/>
      <c r="B324" s="281" t="s">
        <v>430</v>
      </c>
      <c r="C324" s="276"/>
      <c r="D324" s="277"/>
      <c r="E324" s="278"/>
      <c r="F324" s="279">
        <f>+F323</f>
        <v>13423290.34</v>
      </c>
    </row>
    <row r="325" spans="1:7" ht="13.8" thickBot="1" x14ac:dyDescent="0.3">
      <c r="A325" s="306"/>
      <c r="B325" s="307"/>
      <c r="C325" s="308"/>
      <c r="D325" s="309"/>
      <c r="E325" s="310"/>
      <c r="F325" s="311"/>
    </row>
    <row r="326" spans="1:7" ht="13.8" thickBot="1" x14ac:dyDescent="0.3">
      <c r="A326" s="274"/>
      <c r="B326" s="275" t="s">
        <v>425</v>
      </c>
      <c r="C326" s="276"/>
      <c r="D326" s="277"/>
      <c r="E326" s="278"/>
      <c r="F326" s="279">
        <f>F324+F162</f>
        <v>76081199.060000002</v>
      </c>
      <c r="G326" s="180"/>
    </row>
    <row r="327" spans="1:7" x14ac:dyDescent="0.25">
      <c r="A327" s="288"/>
      <c r="B327" s="289"/>
      <c r="C327" s="290"/>
      <c r="D327" s="291"/>
      <c r="E327" s="292"/>
      <c r="F327" s="293"/>
    </row>
    <row r="328" spans="1:7" x14ac:dyDescent="0.25">
      <c r="A328" s="294"/>
      <c r="B328" s="116" t="s">
        <v>182</v>
      </c>
      <c r="C328" s="171"/>
      <c r="D328" s="162"/>
      <c r="E328" s="37"/>
      <c r="F328" s="295"/>
    </row>
    <row r="329" spans="1:7" x14ac:dyDescent="0.25">
      <c r="A329" s="294"/>
      <c r="B329" s="172" t="s">
        <v>183</v>
      </c>
      <c r="C329" s="173">
        <v>0.03</v>
      </c>
      <c r="D329" s="162"/>
      <c r="E329" s="37"/>
      <c r="F329" s="296">
        <f>C329*F326</f>
        <v>2282435.9717999999</v>
      </c>
    </row>
    <row r="330" spans="1:7" x14ac:dyDescent="0.25">
      <c r="A330" s="294"/>
      <c r="B330" s="172" t="s">
        <v>184</v>
      </c>
      <c r="C330" s="173">
        <v>0.1</v>
      </c>
      <c r="D330" s="162"/>
      <c r="E330" s="37"/>
      <c r="F330" s="296">
        <f>F326*C330</f>
        <v>7608119.9060000004</v>
      </c>
    </row>
    <row r="331" spans="1:7" x14ac:dyDescent="0.25">
      <c r="A331" s="294"/>
      <c r="B331" s="172" t="s">
        <v>185</v>
      </c>
      <c r="C331" s="173">
        <v>0.04</v>
      </c>
      <c r="D331" s="162"/>
      <c r="E331" s="37"/>
      <c r="F331" s="296">
        <f>F326*C331</f>
        <v>3043247.9624000001</v>
      </c>
    </row>
    <row r="332" spans="1:7" x14ac:dyDescent="0.25">
      <c r="A332" s="294"/>
      <c r="B332" s="172" t="s">
        <v>186</v>
      </c>
      <c r="C332" s="173">
        <v>0.05</v>
      </c>
      <c r="D332" s="162"/>
      <c r="E332" s="37"/>
      <c r="F332" s="296">
        <f>F326*C332</f>
        <v>3804059.9530000002</v>
      </c>
    </row>
    <row r="333" spans="1:7" x14ac:dyDescent="0.25">
      <c r="A333" s="294"/>
      <c r="B333" s="172" t="s">
        <v>187</v>
      </c>
      <c r="C333" s="173">
        <v>0.03</v>
      </c>
      <c r="D333" s="162"/>
      <c r="E333" s="37"/>
      <c r="F333" s="296">
        <f>F326*C333</f>
        <v>2282435.9717999999</v>
      </c>
    </row>
    <row r="334" spans="1:7" x14ac:dyDescent="0.25">
      <c r="A334" s="294"/>
      <c r="B334" s="172" t="s">
        <v>188</v>
      </c>
      <c r="C334" s="173">
        <v>0.01</v>
      </c>
      <c r="D334" s="162"/>
      <c r="E334" s="37"/>
      <c r="F334" s="296">
        <f>F326*C334</f>
        <v>760811.99060000002</v>
      </c>
    </row>
    <row r="335" spans="1:7" x14ac:dyDescent="0.25">
      <c r="A335" s="297"/>
      <c r="B335" s="172" t="s">
        <v>189</v>
      </c>
      <c r="C335" s="173">
        <v>1E-3</v>
      </c>
      <c r="D335" s="162"/>
      <c r="E335" s="37"/>
      <c r="F335" s="296">
        <f>F326*C335</f>
        <v>76081.199059999999</v>
      </c>
    </row>
    <row r="336" spans="1:7" x14ac:dyDescent="0.25">
      <c r="A336" s="297"/>
      <c r="B336" s="174" t="s">
        <v>190</v>
      </c>
      <c r="C336" s="175">
        <v>0.18</v>
      </c>
      <c r="D336" s="162"/>
      <c r="E336" s="37"/>
      <c r="F336" s="296">
        <f>F330*C336</f>
        <v>1369461.58308</v>
      </c>
    </row>
    <row r="337" spans="1:7" x14ac:dyDescent="0.25">
      <c r="A337" s="297"/>
      <c r="B337" s="172" t="s">
        <v>191</v>
      </c>
      <c r="C337" s="173">
        <v>0.1</v>
      </c>
      <c r="D337" s="162"/>
      <c r="E337" s="37"/>
      <c r="F337" s="296">
        <f>F326*C337</f>
        <v>7608119.9060000004</v>
      </c>
    </row>
    <row r="338" spans="1:7" ht="26.4" x14ac:dyDescent="0.25">
      <c r="A338" s="297"/>
      <c r="B338" s="176" t="s">
        <v>192</v>
      </c>
      <c r="C338" s="177">
        <v>0.03</v>
      </c>
      <c r="D338" s="162"/>
      <c r="E338" s="37"/>
      <c r="F338" s="296">
        <f>F326*C338</f>
        <v>2282435.9717999999</v>
      </c>
    </row>
    <row r="339" spans="1:7" x14ac:dyDescent="0.25">
      <c r="A339" s="297"/>
      <c r="B339" s="176" t="s">
        <v>193</v>
      </c>
      <c r="C339" s="177">
        <v>1.4999999999999999E-2</v>
      </c>
      <c r="D339" s="162"/>
      <c r="E339" s="37"/>
      <c r="F339" s="296">
        <f>F326*C339</f>
        <v>1141217.9859</v>
      </c>
    </row>
    <row r="340" spans="1:7" x14ac:dyDescent="0.25">
      <c r="A340" s="297"/>
      <c r="B340" s="172" t="s">
        <v>194</v>
      </c>
      <c r="C340" s="173">
        <v>0.05</v>
      </c>
      <c r="D340" s="60"/>
      <c r="E340" s="42"/>
      <c r="F340" s="296">
        <f>F326*C340</f>
        <v>3804059.9530000002</v>
      </c>
    </row>
    <row r="341" spans="1:7" x14ac:dyDescent="0.25">
      <c r="A341" s="298"/>
      <c r="B341" s="138" t="s">
        <v>195</v>
      </c>
      <c r="C341" s="158"/>
      <c r="D341" s="159"/>
      <c r="E341" s="36"/>
      <c r="F341" s="299">
        <f>(SUM(F329:F340))</f>
        <v>36062488.354440004</v>
      </c>
      <c r="G341" s="180"/>
    </row>
    <row r="342" spans="1:7" x14ac:dyDescent="0.25">
      <c r="A342" s="235"/>
      <c r="B342" s="104"/>
      <c r="C342" s="178"/>
      <c r="D342" s="179"/>
      <c r="E342" s="27"/>
      <c r="F342" s="300"/>
    </row>
    <row r="343" spans="1:7" ht="13.8" thickBot="1" x14ac:dyDescent="0.3">
      <c r="A343" s="301"/>
      <c r="B343" s="302" t="s">
        <v>196</v>
      </c>
      <c r="C343" s="303"/>
      <c r="D343" s="304"/>
      <c r="E343" s="305"/>
      <c r="F343" s="279">
        <f>ROUNDUP(F326+F341,2)</f>
        <v>112143687.42</v>
      </c>
      <c r="G343" s="180"/>
    </row>
    <row r="345" spans="1:7" x14ac:dyDescent="0.25">
      <c r="F345" s="505"/>
    </row>
    <row r="347" spans="1:7" x14ac:dyDescent="0.25">
      <c r="F347" s="505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&amp;LPRESUPUESTO ACTUALIZADO&amp;R&amp;P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53D4-5C77-47FC-8511-AD9248CC05D0}">
  <sheetPr>
    <tabColor rgb="FFFF0000"/>
  </sheetPr>
  <dimension ref="A4:J183"/>
  <sheetViews>
    <sheetView topLeftCell="A151" workbookViewId="0">
      <selection activeCell="C184" sqref="C184:C185"/>
    </sheetView>
  </sheetViews>
  <sheetFormatPr baseColWidth="10" defaultColWidth="10.6640625" defaultRowHeight="13.2" x14ac:dyDescent="0.25"/>
  <cols>
    <col min="2" max="2" width="61" customWidth="1"/>
    <col min="3" max="3" width="10.5546875" customWidth="1"/>
    <col min="4" max="4" width="10.6640625" customWidth="1"/>
    <col min="5" max="5" width="11.109375" customWidth="1"/>
    <col min="6" max="6" width="14" customWidth="1"/>
    <col min="7" max="7" width="16.77734375" hidden="1" customWidth="1"/>
    <col min="8" max="8" width="14.6640625" style="502" hidden="1" customWidth="1"/>
    <col min="9" max="9" width="12.6640625" style="471" bestFit="1" customWidth="1"/>
  </cols>
  <sheetData>
    <row r="4" spans="1:8" ht="15.6" x14ac:dyDescent="0.25">
      <c r="A4" s="508" t="s">
        <v>412</v>
      </c>
      <c r="B4" s="508"/>
      <c r="C4" s="508"/>
      <c r="D4" s="508"/>
      <c r="E4" s="508"/>
      <c r="F4" s="508"/>
    </row>
    <row r="6" spans="1:8" x14ac:dyDescent="0.25">
      <c r="A6" s="506" t="s">
        <v>1</v>
      </c>
      <c r="B6" s="507"/>
      <c r="C6" s="507"/>
      <c r="D6" s="507"/>
      <c r="E6" s="507"/>
      <c r="F6" s="507"/>
    </row>
    <row r="7" spans="1:8" x14ac:dyDescent="0.25">
      <c r="A7" s="2" t="s">
        <v>2</v>
      </c>
      <c r="B7" s="3"/>
      <c r="C7" s="3"/>
      <c r="D7" s="3"/>
      <c r="E7" s="4" t="s">
        <v>3</v>
      </c>
      <c r="F7" s="5"/>
    </row>
    <row r="8" spans="1:8" ht="13.8" thickBot="1" x14ac:dyDescent="0.3">
      <c r="A8" s="6"/>
      <c r="B8" s="7"/>
      <c r="C8" s="7"/>
      <c r="D8" s="8"/>
      <c r="E8" s="9"/>
      <c r="F8" s="10"/>
    </row>
    <row r="9" spans="1:8" x14ac:dyDescent="0.25">
      <c r="A9" s="218" t="s">
        <v>4</v>
      </c>
      <c r="B9" s="219" t="s">
        <v>5</v>
      </c>
      <c r="C9" s="220" t="s">
        <v>6</v>
      </c>
      <c r="D9" s="219" t="s">
        <v>7</v>
      </c>
      <c r="E9" s="221" t="s">
        <v>8</v>
      </c>
      <c r="F9" s="222" t="s">
        <v>9</v>
      </c>
    </row>
    <row r="10" spans="1:8" x14ac:dyDescent="0.25">
      <c r="A10" s="223"/>
      <c r="B10" s="45"/>
      <c r="C10" s="46"/>
      <c r="D10" s="45"/>
      <c r="E10" s="14"/>
      <c r="F10" s="224"/>
    </row>
    <row r="11" spans="1:8" x14ac:dyDescent="0.25">
      <c r="A11" s="223"/>
      <c r="B11" s="47"/>
      <c r="C11" s="48"/>
      <c r="D11" s="49"/>
      <c r="E11" s="15"/>
      <c r="F11" s="225"/>
    </row>
    <row r="12" spans="1:8" ht="26.4" x14ac:dyDescent="0.25">
      <c r="A12" s="226" t="s">
        <v>10</v>
      </c>
      <c r="B12" s="51" t="s">
        <v>11</v>
      </c>
      <c r="C12" s="52"/>
      <c r="D12" s="53"/>
      <c r="E12" s="17"/>
      <c r="F12" s="227"/>
    </row>
    <row r="13" spans="1:8" x14ac:dyDescent="0.25">
      <c r="A13" s="226"/>
      <c r="B13" s="51"/>
      <c r="C13" s="52"/>
      <c r="D13" s="53"/>
      <c r="E13" s="17"/>
      <c r="F13" s="227"/>
    </row>
    <row r="14" spans="1:8" x14ac:dyDescent="0.25">
      <c r="A14" s="226">
        <v>1</v>
      </c>
      <c r="B14" s="51" t="s">
        <v>12</v>
      </c>
      <c r="C14" s="52"/>
      <c r="D14" s="53"/>
      <c r="E14" s="17"/>
      <c r="F14" s="227"/>
    </row>
    <row r="15" spans="1:8" x14ac:dyDescent="0.25">
      <c r="A15" s="228">
        <v>1.1000000000000001</v>
      </c>
      <c r="B15" s="55" t="s">
        <v>13</v>
      </c>
      <c r="C15" s="56">
        <v>1</v>
      </c>
      <c r="D15" s="57" t="s">
        <v>14</v>
      </c>
      <c r="E15" s="19">
        <f>+'Presupuesto Base 1'!E13</f>
        <v>15500</v>
      </c>
      <c r="F15" s="229">
        <f>+E15*C15</f>
        <v>15500</v>
      </c>
      <c r="G15" s="495">
        <f>+'Presupuesto Base 1'!F13+'Presupuesto Equilibrio Economc'!F175-'Presupuesto Actual compl'!F15</f>
        <v>0</v>
      </c>
      <c r="H15" s="502">
        <f>+'Presupuesto actualizado'!F175+'Presupuesto actualizado'!F13</f>
        <v>15500</v>
      </c>
    </row>
    <row r="16" spans="1:8" x14ac:dyDescent="0.25">
      <c r="A16" s="228">
        <v>1.2</v>
      </c>
      <c r="B16" s="55" t="s">
        <v>15</v>
      </c>
      <c r="C16" s="56">
        <v>4</v>
      </c>
      <c r="D16" s="57" t="s">
        <v>16</v>
      </c>
      <c r="E16" s="19">
        <f>+'Presupuesto Base 1'!E14</f>
        <v>2846.85</v>
      </c>
      <c r="F16" s="229">
        <f t="shared" ref="F16:F17" si="0">+E16*C16</f>
        <v>11387.4</v>
      </c>
      <c r="G16" s="495">
        <f>+'Presupuesto Base 1'!F14+'Presupuesto Equilibrio Economc'!F176-'Presupuesto Actual compl'!F16</f>
        <v>0</v>
      </c>
      <c r="H16" s="502">
        <f>+'Presupuesto actualizado'!F176+'Presupuesto actualizado'!F14</f>
        <v>11387.4</v>
      </c>
    </row>
    <row r="17" spans="1:8" x14ac:dyDescent="0.25">
      <c r="A17" s="228">
        <v>1.3</v>
      </c>
      <c r="B17" s="55" t="s">
        <v>17</v>
      </c>
      <c r="C17" s="56">
        <v>1</v>
      </c>
      <c r="D17" s="57" t="s">
        <v>14</v>
      </c>
      <c r="E17" s="19">
        <f>+'Presupuesto Base 1'!E15</f>
        <v>25000</v>
      </c>
      <c r="F17" s="229">
        <f t="shared" si="0"/>
        <v>25000</v>
      </c>
      <c r="G17" s="495">
        <f>+'Presupuesto Base 1'!F15+'Presupuesto Equilibrio Economc'!F177-'Presupuesto Actual compl'!F17</f>
        <v>0</v>
      </c>
      <c r="H17" s="502">
        <f>+'Presupuesto actualizado'!F177+'Presupuesto actualizado'!F15</f>
        <v>25000</v>
      </c>
    </row>
    <row r="18" spans="1:8" x14ac:dyDescent="0.25">
      <c r="A18" s="226"/>
      <c r="B18" s="51"/>
      <c r="C18" s="52"/>
      <c r="D18" s="53"/>
      <c r="E18" s="17"/>
      <c r="F18" s="229"/>
      <c r="G18" s="495">
        <f>+'Presupuesto Base 1'!F16+'Presupuesto Equilibrio Economc'!F178-'Presupuesto Actual compl'!F18</f>
        <v>0</v>
      </c>
      <c r="H18" s="502">
        <f>+'Presupuesto actualizado'!F178+'Presupuesto actualizado'!F16</f>
        <v>0</v>
      </c>
    </row>
    <row r="19" spans="1:8" x14ac:dyDescent="0.25">
      <c r="A19" s="226">
        <v>2</v>
      </c>
      <c r="B19" s="58" t="s">
        <v>18</v>
      </c>
      <c r="C19" s="59"/>
      <c r="D19" s="60"/>
      <c r="E19" s="21"/>
      <c r="F19" s="229"/>
      <c r="G19" s="495">
        <f>+'Presupuesto Base 1'!F17+'Presupuesto Equilibrio Economc'!F179-'Presupuesto Actual compl'!F19</f>
        <v>0</v>
      </c>
      <c r="H19" s="502">
        <f>+'Presupuesto actualizado'!F179+'Presupuesto actualizado'!F17</f>
        <v>0</v>
      </c>
    </row>
    <row r="20" spans="1:8" x14ac:dyDescent="0.25">
      <c r="A20" s="228">
        <v>2.1</v>
      </c>
      <c r="B20" s="61" t="s">
        <v>19</v>
      </c>
      <c r="C20" s="62">
        <v>4</v>
      </c>
      <c r="D20" s="57" t="s">
        <v>16</v>
      </c>
      <c r="E20" s="1">
        <f>+'Analisis de costos actualizados'!H10</f>
        <v>790.54208333333338</v>
      </c>
      <c r="F20" s="229">
        <f t="shared" ref="F20" si="1">+E20*C20</f>
        <v>3162.1683333333335</v>
      </c>
      <c r="G20" s="495">
        <f>+'Presupuesto Base 1'!F18+'Presupuesto Equilibrio Economc'!F180-'Presupuesto Actual compl'!F20</f>
        <v>-3.3333333335576754E-3</v>
      </c>
      <c r="H20" s="502">
        <f>+'Presupuesto actualizado'!F180+'Presupuesto actualizado'!F18</f>
        <v>3162.1683333333335</v>
      </c>
    </row>
    <row r="21" spans="1:8" x14ac:dyDescent="0.25">
      <c r="A21" s="226"/>
      <c r="B21" s="61"/>
      <c r="C21" s="62"/>
      <c r="D21" s="57"/>
      <c r="E21" s="1"/>
      <c r="F21" s="229"/>
      <c r="G21" s="495">
        <f>+'Presupuesto Base 1'!F19+'Presupuesto Equilibrio Economc'!F181-'Presupuesto Actual compl'!F21</f>
        <v>0</v>
      </c>
      <c r="H21" s="502">
        <f>+'Presupuesto actualizado'!F181+'Presupuesto actualizado'!F19</f>
        <v>0</v>
      </c>
    </row>
    <row r="22" spans="1:8" x14ac:dyDescent="0.25">
      <c r="A22" s="226">
        <v>3</v>
      </c>
      <c r="B22" s="63" t="s">
        <v>20</v>
      </c>
      <c r="C22" s="62"/>
      <c r="D22" s="57"/>
      <c r="E22" s="1"/>
      <c r="F22" s="229"/>
      <c r="G22" s="495">
        <f>+'Presupuesto Base 1'!F20+'Presupuesto Equilibrio Economc'!F182-'Presupuesto Actual compl'!F22</f>
        <v>0</v>
      </c>
      <c r="H22" s="502">
        <f>+'Presupuesto actualizado'!F182+'Presupuesto actualizado'!F20</f>
        <v>0</v>
      </c>
    </row>
    <row r="23" spans="1:8" x14ac:dyDescent="0.25">
      <c r="A23" s="228">
        <v>3.1</v>
      </c>
      <c r="B23" s="61" t="s">
        <v>21</v>
      </c>
      <c r="C23" s="62">
        <v>4</v>
      </c>
      <c r="D23" s="57" t="s">
        <v>16</v>
      </c>
      <c r="E23" s="1">
        <f>+'Analisis de costos actualizados'!H15</f>
        <v>2100</v>
      </c>
      <c r="F23" s="229">
        <f t="shared" ref="F23:F24" si="2">+E23*C23</f>
        <v>8400</v>
      </c>
      <c r="G23" s="495">
        <f>+'Presupuesto Base 1'!F21+'Presupuesto Equilibrio Economc'!F183-'Presupuesto Actual compl'!F23</f>
        <v>0</v>
      </c>
      <c r="H23" s="502">
        <f>+'Presupuesto actualizado'!F183+'Presupuesto actualizado'!F21</f>
        <v>8400</v>
      </c>
    </row>
    <row r="24" spans="1:8" x14ac:dyDescent="0.25">
      <c r="A24" s="228">
        <v>3.2</v>
      </c>
      <c r="B24" s="61" t="s">
        <v>22</v>
      </c>
      <c r="C24" s="62">
        <v>4</v>
      </c>
      <c r="D24" s="57" t="s">
        <v>16</v>
      </c>
      <c r="E24" s="1">
        <f>+'Analisis de costos actualizados'!H19</f>
        <v>1694</v>
      </c>
      <c r="F24" s="229">
        <f t="shared" si="2"/>
        <v>6776</v>
      </c>
      <c r="G24" s="495">
        <f>+'Presupuesto Base 1'!F22+'Presupuesto Equilibrio Economc'!F184-'Presupuesto Actual compl'!F24</f>
        <v>0</v>
      </c>
      <c r="H24" s="502">
        <f>+'Presupuesto actualizado'!F184+'Presupuesto actualizado'!F22</f>
        <v>6776</v>
      </c>
    </row>
    <row r="25" spans="1:8" x14ac:dyDescent="0.25">
      <c r="A25" s="226"/>
      <c r="B25" s="61"/>
      <c r="C25" s="62"/>
      <c r="D25" s="57"/>
      <c r="E25" s="1"/>
      <c r="F25" s="229"/>
      <c r="G25" s="495">
        <f>+'Presupuesto Base 1'!F23+'Presupuesto Equilibrio Economc'!F185-'Presupuesto Actual compl'!F25</f>
        <v>0</v>
      </c>
      <c r="H25" s="502">
        <f>+'Presupuesto actualizado'!F185+'Presupuesto actualizado'!F23</f>
        <v>0</v>
      </c>
    </row>
    <row r="26" spans="1:8" ht="26.4" x14ac:dyDescent="0.25">
      <c r="A26" s="230">
        <v>4</v>
      </c>
      <c r="B26" s="65" t="s">
        <v>23</v>
      </c>
      <c r="C26" s="66">
        <v>1</v>
      </c>
      <c r="D26" s="57" t="s">
        <v>24</v>
      </c>
      <c r="E26" s="19"/>
      <c r="F26" s="229"/>
      <c r="G26" s="495">
        <f>+'Presupuesto Base 1'!F24+'Presupuesto Equilibrio Economc'!F186-'Presupuesto Actual compl'!F26</f>
        <v>0</v>
      </c>
      <c r="H26" s="502">
        <f>+'Presupuesto actualizado'!F186+'Presupuesto actualizado'!F24</f>
        <v>0</v>
      </c>
    </row>
    <row r="27" spans="1:8" x14ac:dyDescent="0.25">
      <c r="A27" s="231">
        <v>4.0999999999999996</v>
      </c>
      <c r="B27" s="61" t="s">
        <v>25</v>
      </c>
      <c r="C27" s="68">
        <v>1</v>
      </c>
      <c r="D27" s="57" t="s">
        <v>24</v>
      </c>
      <c r="E27" s="19">
        <v>12937.6</v>
      </c>
      <c r="F27" s="229">
        <f t="shared" ref="F27:F34" si="3">+E27*C27</f>
        <v>12937.6</v>
      </c>
      <c r="G27" s="495">
        <f>+'Presupuesto Base 1'!F25+'Presupuesto Equilibrio Economc'!F187-'Presupuesto Actual compl'!F27</f>
        <v>0</v>
      </c>
      <c r="H27" s="502">
        <f>+'Presupuesto actualizado'!F187+'Presupuesto actualizado'!F25</f>
        <v>12937.6</v>
      </c>
    </row>
    <row r="28" spans="1:8" x14ac:dyDescent="0.25">
      <c r="A28" s="231">
        <v>4.2</v>
      </c>
      <c r="B28" s="61" t="s">
        <v>26</v>
      </c>
      <c r="C28" s="69">
        <v>1</v>
      </c>
      <c r="D28" s="57" t="s">
        <v>24</v>
      </c>
      <c r="E28" s="19">
        <v>9081.0499999999993</v>
      </c>
      <c r="F28" s="229">
        <f t="shared" si="3"/>
        <v>9081.0499999999993</v>
      </c>
      <c r="G28" s="495">
        <f>+'Presupuesto Base 1'!F26+'Presupuesto Equilibrio Economc'!F188-'Presupuesto Actual compl'!F28</f>
        <v>0</v>
      </c>
      <c r="H28" s="502">
        <f>+'Presupuesto actualizado'!F188+'Presupuesto actualizado'!F26</f>
        <v>9081.0499999999993</v>
      </c>
    </row>
    <row r="29" spans="1:8" x14ac:dyDescent="0.25">
      <c r="A29" s="231">
        <v>4.3</v>
      </c>
      <c r="B29" s="61" t="s">
        <v>27</v>
      </c>
      <c r="C29" s="69">
        <v>1</v>
      </c>
      <c r="D29" s="57" t="s">
        <v>24</v>
      </c>
      <c r="E29" s="19">
        <v>6718.69</v>
      </c>
      <c r="F29" s="229">
        <f t="shared" si="3"/>
        <v>6718.69</v>
      </c>
      <c r="G29" s="495">
        <f>+'Presupuesto Base 1'!F27+'Presupuesto Equilibrio Economc'!F189-'Presupuesto Actual compl'!F29</f>
        <v>4.0000000008149073E-3</v>
      </c>
      <c r="H29" s="502">
        <f>+'Presupuesto actualizado'!F189+'Presupuesto actualizado'!F27</f>
        <v>6718.6940000000004</v>
      </c>
    </row>
    <row r="30" spans="1:8" x14ac:dyDescent="0.25">
      <c r="A30" s="231">
        <v>4.4000000000000004</v>
      </c>
      <c r="B30" s="70" t="s">
        <v>28</v>
      </c>
      <c r="C30" s="66">
        <v>1</v>
      </c>
      <c r="D30" s="57" t="s">
        <v>24</v>
      </c>
      <c r="E30" s="19">
        <v>7899.87</v>
      </c>
      <c r="F30" s="229">
        <f>+E30*C30</f>
        <v>7899.87</v>
      </c>
      <c r="G30" s="495">
        <f>+'Presupuesto Base 1'!F28+'Presupuesto Equilibrio Economc'!F190-'Presupuesto Actual compl'!F30</f>
        <v>3.9999999999054126E-3</v>
      </c>
      <c r="H30" s="502">
        <f>+'Presupuesto actualizado'!F190+'Presupuesto actualizado'!F28</f>
        <v>7899.8739999999998</v>
      </c>
    </row>
    <row r="31" spans="1:8" x14ac:dyDescent="0.25">
      <c r="A31" s="231">
        <v>4.5</v>
      </c>
      <c r="B31" s="61" t="s">
        <v>29</v>
      </c>
      <c r="C31" s="69">
        <v>2</v>
      </c>
      <c r="D31" s="57" t="s">
        <v>24</v>
      </c>
      <c r="E31" s="19">
        <v>7500</v>
      </c>
      <c r="F31" s="229">
        <f t="shared" si="3"/>
        <v>15000</v>
      </c>
      <c r="G31" s="495">
        <f>+'Presupuesto Base 1'!F29+'Presupuesto Equilibrio Economc'!F191-'Presupuesto Actual compl'!F31</f>
        <v>0</v>
      </c>
      <c r="H31" s="502">
        <f>+'Presupuesto actualizado'!F191+'Presupuesto actualizado'!F29</f>
        <v>15000</v>
      </c>
    </row>
    <row r="32" spans="1:8" x14ac:dyDescent="0.25">
      <c r="A32" s="231">
        <v>4.5999999999999996</v>
      </c>
      <c r="B32" s="61" t="s">
        <v>30</v>
      </c>
      <c r="C32" s="69">
        <v>3</v>
      </c>
      <c r="D32" s="57" t="s">
        <v>24</v>
      </c>
      <c r="E32" s="19">
        <v>6500</v>
      </c>
      <c r="F32" s="229">
        <f t="shared" si="3"/>
        <v>19500</v>
      </c>
      <c r="G32" s="495">
        <f>+'Presupuesto Base 1'!F30+'Presupuesto Equilibrio Economc'!F192-'Presupuesto Actual compl'!F32</f>
        <v>0</v>
      </c>
      <c r="H32" s="502">
        <f>+'Presupuesto actualizado'!F192+'Presupuesto actualizado'!F30</f>
        <v>19500</v>
      </c>
    </row>
    <row r="33" spans="1:8" x14ac:dyDescent="0.25">
      <c r="A33" s="231">
        <v>4.7</v>
      </c>
      <c r="B33" s="61" t="s">
        <v>31</v>
      </c>
      <c r="C33" s="69">
        <v>1</v>
      </c>
      <c r="D33" s="57" t="s">
        <v>24</v>
      </c>
      <c r="E33" s="19">
        <v>5500</v>
      </c>
      <c r="F33" s="229">
        <f t="shared" si="3"/>
        <v>5500</v>
      </c>
      <c r="G33" s="495">
        <f>+'Presupuesto Base 1'!F31+'Presupuesto Equilibrio Economc'!F193-'Presupuesto Actual compl'!F33</f>
        <v>0</v>
      </c>
      <c r="H33" s="502">
        <f>+'Presupuesto actualizado'!F193+'Presupuesto actualizado'!F31</f>
        <v>5500</v>
      </c>
    </row>
    <row r="34" spans="1:8" x14ac:dyDescent="0.25">
      <c r="A34" s="231">
        <v>4.8</v>
      </c>
      <c r="B34" s="61" t="s">
        <v>32</v>
      </c>
      <c r="C34" s="69">
        <v>3</v>
      </c>
      <c r="D34" s="57" t="s">
        <v>24</v>
      </c>
      <c r="E34" s="19">
        <v>8750</v>
      </c>
      <c r="F34" s="229">
        <f t="shared" si="3"/>
        <v>26250</v>
      </c>
      <c r="G34" s="495">
        <f>+'Presupuesto Base 1'!F32+'Presupuesto Equilibrio Economc'!F194-'Presupuesto Actual compl'!F34</f>
        <v>0</v>
      </c>
      <c r="H34" s="502">
        <f>+'Presupuesto actualizado'!F194+'Presupuesto actualizado'!F32</f>
        <v>26250</v>
      </c>
    </row>
    <row r="35" spans="1:8" x14ac:dyDescent="0.25">
      <c r="A35" s="231"/>
      <c r="B35" s="61"/>
      <c r="C35" s="69"/>
      <c r="D35" s="57"/>
      <c r="E35" s="19"/>
      <c r="F35" s="229"/>
      <c r="G35" s="495">
        <f>+'Presupuesto Base 1'!F33+'Presupuesto Equilibrio Economc'!F195-'Presupuesto Actual compl'!F35</f>
        <v>0</v>
      </c>
      <c r="H35" s="502">
        <f>+'Presupuesto actualizado'!F195+'Presupuesto actualizado'!F33</f>
        <v>0</v>
      </c>
    </row>
    <row r="36" spans="1:8" ht="26.4" x14ac:dyDescent="0.25">
      <c r="A36" s="232">
        <v>5</v>
      </c>
      <c r="B36" s="216" t="s">
        <v>33</v>
      </c>
      <c r="C36" s="69">
        <v>1</v>
      </c>
      <c r="D36" s="57" t="s">
        <v>24</v>
      </c>
      <c r="E36" s="19">
        <f>+'Presupuesto Base 1'!E34</f>
        <v>25000</v>
      </c>
      <c r="F36" s="229">
        <f t="shared" ref="F36" si="4">+E36*C36</f>
        <v>25000</v>
      </c>
      <c r="G36" s="495">
        <f>+'Presupuesto Base 1'!F34+'Presupuesto Equilibrio Economc'!F196-'Presupuesto Actual compl'!F36</f>
        <v>0</v>
      </c>
      <c r="H36" s="502">
        <f>+'Presupuesto actualizado'!F196+'Presupuesto actualizado'!F34</f>
        <v>25000</v>
      </c>
    </row>
    <row r="37" spans="1:8" x14ac:dyDescent="0.25">
      <c r="A37" s="232"/>
      <c r="B37" s="61"/>
      <c r="C37" s="69"/>
      <c r="D37" s="57"/>
      <c r="E37" s="19"/>
      <c r="F37" s="229"/>
      <c r="G37" s="495">
        <f>+'Presupuesto Base 1'!F35+'Presupuesto Equilibrio Economc'!F197-'Presupuesto Actual compl'!F37</f>
        <v>0</v>
      </c>
      <c r="H37" s="502">
        <f>+'Presupuesto actualizado'!F197+'Presupuesto actualizado'!F35</f>
        <v>0</v>
      </c>
    </row>
    <row r="38" spans="1:8" x14ac:dyDescent="0.25">
      <c r="A38" s="232">
        <v>6</v>
      </c>
      <c r="B38" s="61" t="s">
        <v>34</v>
      </c>
      <c r="C38" s="69">
        <v>1</v>
      </c>
      <c r="D38" s="57" t="s">
        <v>14</v>
      </c>
      <c r="E38" s="19">
        <f>+'Presupuesto Base 1'!E36</f>
        <v>32000</v>
      </c>
      <c r="F38" s="229">
        <f t="shared" ref="F38" si="5">+E38*C38</f>
        <v>32000</v>
      </c>
      <c r="G38" s="495">
        <f>+'Presupuesto Base 1'!F36+'Presupuesto Equilibrio Economc'!F198-'Presupuesto Actual compl'!F38</f>
        <v>0</v>
      </c>
      <c r="H38" s="502">
        <f>+'Presupuesto actualizado'!F198+'Presupuesto actualizado'!F36</f>
        <v>32000</v>
      </c>
    </row>
    <row r="39" spans="1:8" x14ac:dyDescent="0.25">
      <c r="A39" s="232"/>
      <c r="B39" s="61"/>
      <c r="C39" s="69"/>
      <c r="D39" s="57"/>
      <c r="E39" s="19"/>
      <c r="F39" s="229"/>
      <c r="G39" s="495">
        <f>+'Presupuesto Base 1'!F37+'Presupuesto Equilibrio Economc'!F199-'Presupuesto Actual compl'!F39</f>
        <v>0</v>
      </c>
      <c r="H39" s="502">
        <f>+'Presupuesto actualizado'!F199+'Presupuesto actualizado'!F37</f>
        <v>0</v>
      </c>
    </row>
    <row r="40" spans="1:8" x14ac:dyDescent="0.25">
      <c r="A40" s="232">
        <v>7</v>
      </c>
      <c r="B40" s="61" t="s">
        <v>35</v>
      </c>
      <c r="C40" s="69">
        <v>1</v>
      </c>
      <c r="D40" s="57" t="s">
        <v>24</v>
      </c>
      <c r="E40" s="19">
        <f>25000+18000</f>
        <v>43000</v>
      </c>
      <c r="F40" s="229">
        <f t="shared" ref="F40" si="6">+E40*C40</f>
        <v>43000</v>
      </c>
      <c r="G40" s="495">
        <f>+'Presupuesto Base 1'!F38+'Presupuesto Equilibrio Economc'!F200-'Presupuesto Actual compl'!F40</f>
        <v>0</v>
      </c>
      <c r="H40" s="502">
        <f>+'Presupuesto actualizado'!F200+'Presupuesto actualizado'!F38</f>
        <v>43000</v>
      </c>
    </row>
    <row r="41" spans="1:8" x14ac:dyDescent="0.25">
      <c r="A41" s="233"/>
      <c r="B41" s="73" t="s">
        <v>36</v>
      </c>
      <c r="C41" s="74"/>
      <c r="D41" s="75"/>
      <c r="E41" s="22"/>
      <c r="F41" s="234">
        <f>SUM(F15:F40)</f>
        <v>273112.77833333332</v>
      </c>
      <c r="G41" s="495">
        <f>+'Presupuesto Base 1'!F39+'Presupuesto Equilibrio Economc'!F201-'Presupuesto Actual compl'!F41</f>
        <v>4.6666666748933494E-3</v>
      </c>
      <c r="H41" s="502">
        <f>+'Presupuesto actualizado'!F201+'Presupuesto actualizado'!F39</f>
        <v>273112.78633333335</v>
      </c>
    </row>
    <row r="42" spans="1:8" x14ac:dyDescent="0.25">
      <c r="A42" s="235"/>
      <c r="B42" s="76"/>
      <c r="C42" s="66"/>
      <c r="D42" s="49"/>
      <c r="E42" s="19"/>
      <c r="F42" s="229"/>
      <c r="G42" s="495">
        <f>+'Presupuesto Base 1'!F40+'Presupuesto Equilibrio Economc'!F202-'Presupuesto Actual compl'!F42</f>
        <v>0</v>
      </c>
      <c r="H42" s="502">
        <f>+'Presupuesto actualizado'!F202+'Presupuesto actualizado'!F40</f>
        <v>0</v>
      </c>
    </row>
    <row r="43" spans="1:8" x14ac:dyDescent="0.25">
      <c r="A43" s="236" t="s">
        <v>37</v>
      </c>
      <c r="B43" s="78" t="s">
        <v>38</v>
      </c>
      <c r="C43" s="66"/>
      <c r="D43" s="49"/>
      <c r="E43" s="19"/>
      <c r="F43" s="229"/>
      <c r="G43" s="495">
        <f>+'Presupuesto Base 1'!F41+'Presupuesto Equilibrio Economc'!F203-'Presupuesto Actual compl'!F43</f>
        <v>0</v>
      </c>
      <c r="H43" s="502">
        <f>+'Presupuesto actualizado'!F203+'Presupuesto actualizado'!F41</f>
        <v>0</v>
      </c>
    </row>
    <row r="44" spans="1:8" x14ac:dyDescent="0.25">
      <c r="A44" s="235"/>
      <c r="B44" s="76"/>
      <c r="C44" s="66"/>
      <c r="D44" s="49"/>
      <c r="E44" s="19"/>
      <c r="F44" s="229"/>
      <c r="G44" s="495">
        <f>+'Presupuesto Base 1'!F42+'Presupuesto Equilibrio Economc'!F204-'Presupuesto Actual compl'!F44</f>
        <v>0</v>
      </c>
      <c r="H44" s="502">
        <f>+'Presupuesto actualizado'!F204+'Presupuesto actualizado'!F42</f>
        <v>0</v>
      </c>
    </row>
    <row r="45" spans="1:8" x14ac:dyDescent="0.25">
      <c r="A45" s="237">
        <v>1</v>
      </c>
      <c r="B45" s="80" t="s">
        <v>39</v>
      </c>
      <c r="C45" s="66">
        <v>21027</v>
      </c>
      <c r="D45" s="81" t="s">
        <v>40</v>
      </c>
      <c r="E45" s="19">
        <f>+'Analisis de costos actualizados'!H106</f>
        <v>47</v>
      </c>
      <c r="F45" s="229">
        <f>C45*E45</f>
        <v>988269</v>
      </c>
      <c r="G45" s="495">
        <f>+'Presupuesto Base 1'!F43+'Presupuesto Equilibrio Economc'!F205-'Presupuesto Actual compl'!F45</f>
        <v>1.9999999785795808E-3</v>
      </c>
      <c r="H45" s="502">
        <f>+'Presupuesto actualizado'!F205+'Presupuesto actualizado'!F43</f>
        <v>988269</v>
      </c>
    </row>
    <row r="46" spans="1:8" x14ac:dyDescent="0.25">
      <c r="A46" s="238"/>
      <c r="B46" s="76"/>
      <c r="C46" s="66"/>
      <c r="D46" s="81"/>
      <c r="E46" s="19"/>
      <c r="F46" s="229"/>
      <c r="G46" s="495">
        <f>+'Presupuesto Base 1'!F44+'Presupuesto Equilibrio Economc'!F206-'Presupuesto Actual compl'!F46</f>
        <v>0</v>
      </c>
      <c r="H46" s="502">
        <f>+'Presupuesto actualizado'!F206+'Presupuesto actualizado'!F44</f>
        <v>0</v>
      </c>
    </row>
    <row r="47" spans="1:8" x14ac:dyDescent="0.25">
      <c r="A47" s="239">
        <v>2</v>
      </c>
      <c r="B47" s="84" t="s">
        <v>41</v>
      </c>
      <c r="C47" s="66"/>
      <c r="D47" s="85"/>
      <c r="E47" s="19"/>
      <c r="F47" s="229"/>
      <c r="G47" s="495">
        <f>+'Presupuesto Base 1'!F45+'Presupuesto Equilibrio Economc'!F207-'Presupuesto Actual compl'!F47</f>
        <v>0</v>
      </c>
      <c r="H47" s="502">
        <f>+'Presupuesto actualizado'!F207+'Presupuesto actualizado'!F45</f>
        <v>0</v>
      </c>
    </row>
    <row r="48" spans="1:8" x14ac:dyDescent="0.25">
      <c r="A48" s="240">
        <v>2.1</v>
      </c>
      <c r="B48" s="87" t="s">
        <v>42</v>
      </c>
      <c r="C48" s="56">
        <v>27648</v>
      </c>
      <c r="D48" s="81" t="s">
        <v>40</v>
      </c>
      <c r="E48" s="19">
        <f>+'Analisis de costos actualizados'!H116-118.49/C48</f>
        <v>34.082000051669972</v>
      </c>
      <c r="F48" s="229">
        <f>+C48*E48</f>
        <v>942299.13742857135</v>
      </c>
      <c r="G48" s="495">
        <f>+'Presupuesto Base 1'!F46+'Presupuesto Equilibrio Economc'!F208-'Presupuesto Actual compl'!F48</f>
        <v>0</v>
      </c>
      <c r="H48" s="502">
        <f>+'Presupuesto actualizado'!F208+'Presupuesto actualizado'!F46</f>
        <v>942299.13742857135</v>
      </c>
    </row>
    <row r="49" spans="1:9" ht="13.8" x14ac:dyDescent="0.25">
      <c r="A49" s="228">
        <v>2.2000000000000002</v>
      </c>
      <c r="B49" s="87" t="s">
        <v>43</v>
      </c>
      <c r="C49" s="56">
        <v>10368</v>
      </c>
      <c r="D49" s="57" t="s">
        <v>44</v>
      </c>
      <c r="E49" s="19">
        <f>+'Analisis de costos actualizados'!H129</f>
        <v>46.437600000000003</v>
      </c>
      <c r="F49" s="229">
        <f t="shared" ref="F49:F50" si="7">+C49*E49</f>
        <v>481465.03680000006</v>
      </c>
      <c r="G49" s="495">
        <f>+'Presupuesto Base 1'!F47+'Presupuesto Equilibrio Economc'!F209-'Presupuesto Actual compl'!F49</f>
        <v>0</v>
      </c>
      <c r="H49" s="502">
        <f>+'Presupuesto actualizado'!F209+'Presupuesto actualizado'!F47</f>
        <v>481465.03680000006</v>
      </c>
    </row>
    <row r="50" spans="1:9" ht="13.8" x14ac:dyDescent="0.25">
      <c r="A50" s="240">
        <v>2.2999999999999998</v>
      </c>
      <c r="B50" s="87" t="s">
        <v>45</v>
      </c>
      <c r="C50" s="56">
        <v>673.92</v>
      </c>
      <c r="D50" s="57" t="s">
        <v>46</v>
      </c>
      <c r="E50" s="19">
        <f>+'Analisis de costos actualizados'!H139</f>
        <v>185.13235294117646</v>
      </c>
      <c r="F50" s="229">
        <f t="shared" si="7"/>
        <v>124764.39529411764</v>
      </c>
      <c r="G50" s="495">
        <f>+'Presupuesto Base 1'!F48+'Presupuesto Equilibrio Economc'!F210-'Presupuesto Actual compl'!F50</f>
        <v>0</v>
      </c>
      <c r="H50" s="502">
        <f>+'Presupuesto actualizado'!F210+'Presupuesto actualizado'!F48</f>
        <v>124764.39529411764</v>
      </c>
      <c r="I50" s="471">
        <f>+SUM(H48:H50)</f>
        <v>1548528.5695226891</v>
      </c>
    </row>
    <row r="51" spans="1:9" x14ac:dyDescent="0.25">
      <c r="A51" s="241"/>
      <c r="B51" s="88"/>
      <c r="C51" s="66"/>
      <c r="D51" s="85"/>
      <c r="E51" s="19"/>
      <c r="F51" s="229"/>
      <c r="G51" s="495">
        <f>+'Presupuesto Base 1'!F49+'Presupuesto Equilibrio Economc'!F211-'Presupuesto Actual compl'!F51</f>
        <v>0</v>
      </c>
      <c r="H51" s="502">
        <f>+'Presupuesto actualizado'!F211+'Presupuesto actualizado'!F49</f>
        <v>0</v>
      </c>
    </row>
    <row r="52" spans="1:9" x14ac:dyDescent="0.25">
      <c r="A52" s="242">
        <v>3</v>
      </c>
      <c r="B52" s="89" t="s">
        <v>47</v>
      </c>
      <c r="C52" s="90"/>
      <c r="D52" s="91"/>
      <c r="E52" s="23"/>
      <c r="F52" s="229"/>
      <c r="G52" s="495">
        <f>+'Presupuesto Base 1'!F50+'Presupuesto Equilibrio Economc'!F212-'Presupuesto Actual compl'!F52</f>
        <v>0</v>
      </c>
      <c r="H52" s="502">
        <f>+'Presupuesto actualizado'!F212+'Presupuesto actualizado'!F50</f>
        <v>0</v>
      </c>
    </row>
    <row r="53" spans="1:9" ht="15.6" x14ac:dyDescent="0.25">
      <c r="A53" s="241">
        <v>3.1</v>
      </c>
      <c r="B53" s="63" t="s">
        <v>48</v>
      </c>
      <c r="C53" s="66"/>
      <c r="D53" s="85"/>
      <c r="E53" s="19"/>
      <c r="F53" s="229"/>
      <c r="G53" s="495">
        <f>+'Presupuesto Base 1'!F51+'Presupuesto Equilibrio Economc'!F213-'Presupuesto Actual compl'!F53</f>
        <v>0</v>
      </c>
      <c r="H53" s="502">
        <f>+'Presupuesto actualizado'!F213+'Presupuesto actualizado'!F51</f>
        <v>0</v>
      </c>
    </row>
    <row r="54" spans="1:9" ht="13.8" x14ac:dyDescent="0.25">
      <c r="A54" s="243" t="s">
        <v>49</v>
      </c>
      <c r="B54" s="61" t="s">
        <v>50</v>
      </c>
      <c r="C54" s="66">
        <v>11203.06</v>
      </c>
      <c r="D54" s="57" t="s">
        <v>46</v>
      </c>
      <c r="E54" s="19">
        <f>+'Analisis de costos actualizados'!H152</f>
        <v>174.14100000000002</v>
      </c>
      <c r="F54" s="229">
        <f>C54*E54</f>
        <v>1950912.0714600002</v>
      </c>
      <c r="G54" s="495">
        <f>+'Presupuesto Base 1'!F52+'Presupuesto Equilibrio Economc'!F214-'Presupuesto Actual compl'!F54</f>
        <v>1.0518999770283699E-3</v>
      </c>
      <c r="H54" s="502">
        <f>+'Presupuesto actualizado'!F214+'Presupuesto actualizado'!F52</f>
        <v>1950912.0714600002</v>
      </c>
    </row>
    <row r="55" spans="1:9" ht="13.8" x14ac:dyDescent="0.25">
      <c r="A55" s="243" t="s">
        <v>51</v>
      </c>
      <c r="B55" s="61" t="s">
        <v>52</v>
      </c>
      <c r="C55" s="66">
        <v>4801.3100000000004</v>
      </c>
      <c r="D55" s="57" t="s">
        <v>46</v>
      </c>
      <c r="E55" s="19">
        <f>+'Analisis de costos actualizados'!H155</f>
        <v>466.69285714285712</v>
      </c>
      <c r="F55" s="229">
        <f>C55*E55</f>
        <v>2240737.0819285717</v>
      </c>
      <c r="G55" s="495">
        <f>+'Presupuesto Base 1'!F53+'Presupuesto Equilibrio Economc'!F215-'Presupuesto Actual compl'!F55</f>
        <v>-1.9285716116428375E-3</v>
      </c>
      <c r="H55" s="502">
        <f>+'Presupuesto actualizado'!F215+'Presupuesto actualizado'!F53</f>
        <v>2240737.0819285717</v>
      </c>
    </row>
    <row r="56" spans="1:9" ht="13.8" x14ac:dyDescent="0.25">
      <c r="A56" s="243" t="s">
        <v>53</v>
      </c>
      <c r="B56" s="87" t="s">
        <v>54</v>
      </c>
      <c r="C56" s="66">
        <v>15770.25</v>
      </c>
      <c r="D56" s="57" t="s">
        <v>44</v>
      </c>
      <c r="E56" s="24">
        <f>+'Presupuesto Base 1'!E54</f>
        <v>75</v>
      </c>
      <c r="F56" s="229">
        <f t="shared" ref="F56:F59" si="8">+E56*C56</f>
        <v>1182768.75</v>
      </c>
      <c r="G56" s="495">
        <f>+'Presupuesto Base 1'!F54+'Presupuesto Equilibrio Economc'!F216-'Presupuesto Actual compl'!F56</f>
        <v>0</v>
      </c>
      <c r="H56" s="502">
        <f>+'Presupuesto actualizado'!F216+'Presupuesto actualizado'!F54</f>
        <v>1182768.75</v>
      </c>
    </row>
    <row r="57" spans="1:9" ht="13.8" x14ac:dyDescent="0.25">
      <c r="A57" s="243" t="s">
        <v>55</v>
      </c>
      <c r="B57" s="93" t="s">
        <v>56</v>
      </c>
      <c r="C57" s="66">
        <v>1293.6199999999999</v>
      </c>
      <c r="D57" s="57" t="s">
        <v>46</v>
      </c>
      <c r="E57" s="19">
        <f>+'Analisis de costos actualizados'!H170</f>
        <v>1578.1999999999998</v>
      </c>
      <c r="F57" s="229">
        <f t="shared" si="8"/>
        <v>2041591.0839999996</v>
      </c>
      <c r="G57" s="495">
        <f>+'Presupuesto Base 1'!F55+'Presupuesto Equilibrio Economc'!F217-'Presupuesto Actual compl'!F57</f>
        <v>0</v>
      </c>
      <c r="H57" s="502">
        <f>+'Presupuesto actualizado'!F217+'Presupuesto actualizado'!F55</f>
        <v>2041591.0839999996</v>
      </c>
    </row>
    <row r="58" spans="1:9" ht="13.8" x14ac:dyDescent="0.25">
      <c r="A58" s="243" t="s">
        <v>57</v>
      </c>
      <c r="B58" s="61" t="s">
        <v>58</v>
      </c>
      <c r="C58" s="94">
        <v>5761.57</v>
      </c>
      <c r="D58" s="57" t="s">
        <v>46</v>
      </c>
      <c r="E58" s="25">
        <f>+'Analisis de costos actualizados'!H180</f>
        <v>723.6849436</v>
      </c>
      <c r="F58" s="229">
        <f t="shared" si="8"/>
        <v>4169561.4604974519</v>
      </c>
      <c r="G58" s="495">
        <f>+'Presupuesto Base 1'!F56+'Presupuesto Equilibrio Economc'!F218-'Presupuesto Actual compl'!F58</f>
        <v>-3.9897998794913292E-3</v>
      </c>
      <c r="H58" s="502">
        <f>+'Presupuesto actualizado'!F218+'Presupuesto actualizado'!F56</f>
        <v>4169561.4604974519</v>
      </c>
    </row>
    <row r="59" spans="1:9" ht="26.4" x14ac:dyDescent="0.25">
      <c r="A59" s="243" t="s">
        <v>59</v>
      </c>
      <c r="B59" s="72" t="s">
        <v>60</v>
      </c>
      <c r="C59" s="95">
        <v>13808.54</v>
      </c>
      <c r="D59" s="96" t="s">
        <v>61</v>
      </c>
      <c r="E59" s="26">
        <f>+'Analisis de costos actualizados'!H197</f>
        <v>226.03051432000004</v>
      </c>
      <c r="F59" s="229">
        <f t="shared" si="8"/>
        <v>3121151.3982082936</v>
      </c>
      <c r="G59" s="495">
        <f>+'Presupuesto Base 1'!F57+'Presupuesto Equilibrio Economc'!F219-'Presupuesto Actual compl'!F59</f>
        <v>1.791706308722496E-3</v>
      </c>
      <c r="H59" s="502">
        <f>+'Presupuesto actualizado'!F219+'Presupuesto actualizado'!F57</f>
        <v>3121151.4</v>
      </c>
    </row>
    <row r="60" spans="1:9" ht="26.4" x14ac:dyDescent="0.25">
      <c r="A60" s="243" t="s">
        <v>62</v>
      </c>
      <c r="B60" s="72" t="s">
        <v>63</v>
      </c>
      <c r="C60" s="97">
        <v>8876.7000000000007</v>
      </c>
      <c r="D60" s="98" t="s">
        <v>46</v>
      </c>
      <c r="E60" s="26">
        <f>+'Analisis de costos actualizados'!H207</f>
        <v>279.91464400000001</v>
      </c>
      <c r="F60" s="229">
        <f>C60*E60</f>
        <v>2484718.3203948005</v>
      </c>
      <c r="G60" s="495">
        <f>+'Presupuesto Base 1'!F58+'Presupuesto Equilibrio Economc'!F220-'Presupuesto Actual compl'!F60</f>
        <v>-9.3480059877038002E-4</v>
      </c>
      <c r="H60" s="502">
        <f>+'Presupuesto actualizado'!F220+'Presupuesto actualizado'!F58</f>
        <v>2484718.3203948005</v>
      </c>
      <c r="I60" s="471">
        <f>+SUM(H54:H60)</f>
        <v>17191440.168280825</v>
      </c>
    </row>
    <row r="61" spans="1:9" x14ac:dyDescent="0.25">
      <c r="A61" s="244"/>
      <c r="B61" s="76"/>
      <c r="C61" s="100"/>
      <c r="D61" s="81"/>
      <c r="E61" s="17"/>
      <c r="F61" s="229"/>
      <c r="G61" s="495">
        <f>+'Presupuesto Base 1'!F59+'Presupuesto Equilibrio Economc'!F221-'Presupuesto Actual compl'!F61</f>
        <v>0</v>
      </c>
      <c r="H61" s="502">
        <f>+'Presupuesto actualizado'!F221+'Presupuesto actualizado'!F59</f>
        <v>0</v>
      </c>
    </row>
    <row r="62" spans="1:9" x14ac:dyDescent="0.25">
      <c r="A62" s="244"/>
      <c r="B62" s="76"/>
      <c r="C62" s="100"/>
      <c r="D62" s="81"/>
      <c r="E62" s="17"/>
      <c r="F62" s="229"/>
      <c r="G62" s="495">
        <f>+'Presupuesto Base 1'!F60+'Presupuesto Equilibrio Economc'!F222-'Presupuesto Actual compl'!F62</f>
        <v>0</v>
      </c>
      <c r="H62" s="502">
        <f>+'Presupuesto actualizado'!F222+'Presupuesto actualizado'!F60</f>
        <v>0</v>
      </c>
    </row>
    <row r="63" spans="1:9" x14ac:dyDescent="0.25">
      <c r="A63" s="245">
        <v>4</v>
      </c>
      <c r="B63" s="80" t="s">
        <v>64</v>
      </c>
      <c r="C63" s="100"/>
      <c r="D63" s="81"/>
      <c r="E63" s="17"/>
      <c r="F63" s="229"/>
      <c r="G63" s="495">
        <f>+'Presupuesto Base 1'!F61+'Presupuesto Equilibrio Economc'!F223-'Presupuesto Actual compl'!F63</f>
        <v>0</v>
      </c>
      <c r="H63" s="502">
        <f>+'Presupuesto actualizado'!F223+'Presupuesto actualizado'!F61</f>
        <v>0</v>
      </c>
    </row>
    <row r="64" spans="1:9" x14ac:dyDescent="0.25">
      <c r="A64" s="246">
        <v>4.0999999999999996</v>
      </c>
      <c r="B64" s="103" t="s">
        <v>65</v>
      </c>
      <c r="C64" s="66">
        <v>1339</v>
      </c>
      <c r="D64" s="81" t="s">
        <v>40</v>
      </c>
      <c r="E64" s="25">
        <f>+'Analisis de costos actualizados'!H214</f>
        <v>4152.7563199336928</v>
      </c>
      <c r="F64" s="229">
        <f>C64*E64</f>
        <v>5560540.7123912144</v>
      </c>
      <c r="G64" s="495">
        <f>+'Presupuesto Base 1'!F62+'Presupuesto Equilibrio Economc'!F224-'Presupuesto Actual compl'!F64</f>
        <v>5.4999999701976776E-4</v>
      </c>
      <c r="H64" s="502">
        <f>+'Presupuesto actualizado'!F224+'Presupuesto actualizado'!F62</f>
        <v>5560540.7123912144</v>
      </c>
    </row>
    <row r="65" spans="1:9" x14ac:dyDescent="0.25">
      <c r="A65" s="246">
        <v>4.2</v>
      </c>
      <c r="B65" s="103" t="s">
        <v>66</v>
      </c>
      <c r="C65" s="66">
        <v>1287.5</v>
      </c>
      <c r="D65" s="81" t="s">
        <v>40</v>
      </c>
      <c r="E65" s="19">
        <f>+'Analisis de costos actualizados'!H223</f>
        <v>1926.6199999999963</v>
      </c>
      <c r="F65" s="229">
        <f t="shared" ref="F65:F67" si="9">C65*E65</f>
        <v>2480523.2499999953</v>
      </c>
      <c r="G65" s="495">
        <f>+'Presupuesto Base 1'!F63+'Presupuesto Equilibrio Economc'!F225-'Presupuesto Actual compl'!F65</f>
        <v>0</v>
      </c>
      <c r="H65" s="502">
        <f>+'Presupuesto actualizado'!F225+'Presupuesto actualizado'!F63</f>
        <v>2480523.2499999953</v>
      </c>
    </row>
    <row r="66" spans="1:9" x14ac:dyDescent="0.25">
      <c r="A66" s="246">
        <v>4.3</v>
      </c>
      <c r="B66" s="103" t="s">
        <v>67</v>
      </c>
      <c r="C66" s="66">
        <v>7456.2</v>
      </c>
      <c r="D66" s="81" t="s">
        <v>40</v>
      </c>
      <c r="E66" s="19">
        <f>+'Analisis de costos actualizados'!H232</f>
        <v>1313</v>
      </c>
      <c r="F66" s="229">
        <f t="shared" si="9"/>
        <v>9789990.5999999996</v>
      </c>
      <c r="G66" s="495">
        <f>+'Presupuesto Base 1'!F64+'Presupuesto Equilibrio Economc'!F226-'Presupuesto Actual compl'!F66</f>
        <v>0</v>
      </c>
      <c r="H66" s="502">
        <f>+'Presupuesto actualizado'!F226+'Presupuesto actualizado'!F64</f>
        <v>9789990.5999999996</v>
      </c>
    </row>
    <row r="67" spans="1:9" x14ac:dyDescent="0.25">
      <c r="A67" s="246">
        <v>4.4000000000000004</v>
      </c>
      <c r="B67" s="103" t="s">
        <v>68</v>
      </c>
      <c r="C67" s="66">
        <v>11390.34</v>
      </c>
      <c r="D67" s="81" t="s">
        <v>40</v>
      </c>
      <c r="E67" s="19">
        <f>+'Analisis de costos actualizados'!H241</f>
        <v>1189.0999999999999</v>
      </c>
      <c r="F67" s="229">
        <f t="shared" si="9"/>
        <v>13544253.294</v>
      </c>
      <c r="G67" s="495">
        <f>+'Presupuesto Base 1'!F65+'Presupuesto Equilibrio Economc'!F227-'Presupuesto Actual compl'!F67</f>
        <v>0</v>
      </c>
      <c r="H67" s="502">
        <f>+'Presupuesto actualizado'!F227+'Presupuesto actualizado'!F65</f>
        <v>13544253.294</v>
      </c>
      <c r="I67" s="471">
        <f>+SUM(H64:H67)</f>
        <v>31375307.85639121</v>
      </c>
    </row>
    <row r="68" spans="1:9" x14ac:dyDescent="0.25">
      <c r="A68" s="247"/>
      <c r="B68" s="76"/>
      <c r="C68" s="66"/>
      <c r="D68" s="81"/>
      <c r="E68" s="19"/>
      <c r="F68" s="229"/>
      <c r="G68" s="495">
        <f>+'Presupuesto Base 1'!F66+'Presupuesto Equilibrio Economc'!F228-'Presupuesto Actual compl'!F68</f>
        <v>0</v>
      </c>
      <c r="H68" s="502">
        <f>+'Presupuesto actualizado'!F228+'Presupuesto actualizado'!F66</f>
        <v>0</v>
      </c>
    </row>
    <row r="69" spans="1:9" x14ac:dyDescent="0.25">
      <c r="A69" s="245">
        <v>5</v>
      </c>
      <c r="B69" s="80" t="s">
        <v>69</v>
      </c>
      <c r="C69" s="66"/>
      <c r="D69" s="81"/>
      <c r="E69" s="19"/>
      <c r="F69" s="229"/>
      <c r="G69" s="495">
        <f>+'Presupuesto Base 1'!F67+'Presupuesto Equilibrio Economc'!F229-'Presupuesto Actual compl'!F69</f>
        <v>0</v>
      </c>
      <c r="H69" s="502">
        <f>+'Presupuesto actualizado'!F229+'Presupuesto actualizado'!F67</f>
        <v>0</v>
      </c>
    </row>
    <row r="70" spans="1:9" x14ac:dyDescent="0.25">
      <c r="A70" s="246">
        <v>5.0999999999999996</v>
      </c>
      <c r="B70" s="103" t="s">
        <v>70</v>
      </c>
      <c r="C70" s="66">
        <v>1300</v>
      </c>
      <c r="D70" s="81" t="s">
        <v>40</v>
      </c>
      <c r="E70" s="19">
        <f>+'Analisis de costos actualizados'!C217</f>
        <v>75</v>
      </c>
      <c r="F70" s="229">
        <f t="shared" ref="F70:F73" si="10">+E70*C70</f>
        <v>97500</v>
      </c>
      <c r="G70" s="495">
        <f>+'Presupuesto Base 1'!F68+'Presupuesto Equilibrio Economc'!F230-'Presupuesto Actual compl'!F70</f>
        <v>0</v>
      </c>
      <c r="H70" s="502">
        <f>+'Presupuesto actualizado'!F230+'Presupuesto actualizado'!F68</f>
        <v>97500</v>
      </c>
    </row>
    <row r="71" spans="1:9" x14ac:dyDescent="0.25">
      <c r="A71" s="246">
        <v>5.2</v>
      </c>
      <c r="B71" s="103" t="s">
        <v>71</v>
      </c>
      <c r="C71" s="66">
        <v>1250</v>
      </c>
      <c r="D71" s="81" t="s">
        <v>40</v>
      </c>
      <c r="E71" s="19">
        <f>+'Analisis de costos actualizados'!C226</f>
        <v>70.61</v>
      </c>
      <c r="F71" s="229">
        <f t="shared" si="10"/>
        <v>88262.5</v>
      </c>
      <c r="G71" s="495">
        <f>+'Presupuesto Base 1'!F69+'Presupuesto Equilibrio Economc'!F231-'Presupuesto Actual compl'!F71</f>
        <v>0</v>
      </c>
      <c r="H71" s="502">
        <f>+'Presupuesto actualizado'!F231+'Presupuesto actualizado'!F69</f>
        <v>88262.5</v>
      </c>
    </row>
    <row r="72" spans="1:9" x14ac:dyDescent="0.25">
      <c r="A72" s="246">
        <v>5.3</v>
      </c>
      <c r="B72" s="103" t="s">
        <v>72</v>
      </c>
      <c r="C72" s="66">
        <v>7310</v>
      </c>
      <c r="D72" s="81" t="s">
        <v>40</v>
      </c>
      <c r="E72" s="19">
        <f>+'Analisis de costos actualizados'!C235</f>
        <v>63</v>
      </c>
      <c r="F72" s="229">
        <f t="shared" si="10"/>
        <v>460530</v>
      </c>
      <c r="G72" s="495">
        <f>+'Presupuesto Base 1'!F70+'Presupuesto Equilibrio Economc'!F232-'Presupuesto Actual compl'!F72</f>
        <v>0</v>
      </c>
      <c r="H72" s="502">
        <f>+'Presupuesto actualizado'!F232+'Presupuesto actualizado'!F70</f>
        <v>460530</v>
      </c>
    </row>
    <row r="73" spans="1:9" x14ac:dyDescent="0.25">
      <c r="A73" s="246">
        <v>5.4</v>
      </c>
      <c r="B73" s="103" t="s">
        <v>73</v>
      </c>
      <c r="C73" s="66">
        <v>11167</v>
      </c>
      <c r="D73" s="81" t="s">
        <v>40</v>
      </c>
      <c r="E73" s="19">
        <f>+'Analisis de costos actualizados'!C244</f>
        <v>55</v>
      </c>
      <c r="F73" s="229">
        <f t="shared" si="10"/>
        <v>614185</v>
      </c>
      <c r="G73" s="495">
        <f>+'Presupuesto Base 1'!F71+'Presupuesto Equilibrio Economc'!F233-'Presupuesto Actual compl'!F73</f>
        <v>0</v>
      </c>
      <c r="H73" s="502">
        <f>+'Presupuesto actualizado'!F233+'Presupuesto actualizado'!F71</f>
        <v>614185</v>
      </c>
      <c r="I73" s="471">
        <f>+SUM(H70:H73)</f>
        <v>1260477.5</v>
      </c>
    </row>
    <row r="74" spans="1:9" x14ac:dyDescent="0.25">
      <c r="A74" s="246"/>
      <c r="B74" s="103"/>
      <c r="C74" s="66"/>
      <c r="D74" s="81"/>
      <c r="E74" s="19"/>
      <c r="F74" s="229"/>
      <c r="G74" s="495">
        <f>+'Presupuesto Base 1'!F72+'Presupuesto Equilibrio Economc'!F234-'Presupuesto Actual compl'!F74</f>
        <v>0</v>
      </c>
      <c r="H74" s="502">
        <f>+'Presupuesto actualizado'!F234+'Presupuesto actualizado'!F72</f>
        <v>0</v>
      </c>
    </row>
    <row r="75" spans="1:9" x14ac:dyDescent="0.25">
      <c r="A75" s="248">
        <v>6</v>
      </c>
      <c r="B75" s="63" t="s">
        <v>74</v>
      </c>
      <c r="C75" s="66"/>
      <c r="D75" s="81"/>
      <c r="E75" s="19"/>
      <c r="F75" s="229"/>
      <c r="G75" s="495">
        <f>+'Presupuesto Base 1'!F73+'Presupuesto Equilibrio Economc'!F235-'Presupuesto Actual compl'!F75</f>
        <v>0</v>
      </c>
      <c r="H75" s="502">
        <f>+'Presupuesto actualizado'!F235+'Presupuesto actualizado'!F73</f>
        <v>0</v>
      </c>
    </row>
    <row r="76" spans="1:9" x14ac:dyDescent="0.25">
      <c r="A76" s="246">
        <v>6.1</v>
      </c>
      <c r="B76" s="103" t="s">
        <v>70</v>
      </c>
      <c r="C76" s="66">
        <v>1300</v>
      </c>
      <c r="D76" s="81" t="s">
        <v>40</v>
      </c>
      <c r="E76" s="19">
        <f>+'Analisis de costos actualizados'!C247</f>
        <v>46.97</v>
      </c>
      <c r="F76" s="229">
        <f t="shared" ref="F76:F79" si="11">+E76*C76</f>
        <v>61061</v>
      </c>
      <c r="G76" s="495">
        <f>+'Presupuesto Base 1'!F74+'Presupuesto Equilibrio Economc'!F236-'Presupuesto Actual compl'!F76</f>
        <v>0</v>
      </c>
      <c r="H76" s="502">
        <f>+'Presupuesto actualizado'!F236+'Presupuesto actualizado'!F74</f>
        <v>61061</v>
      </c>
    </row>
    <row r="77" spans="1:9" x14ac:dyDescent="0.25">
      <c r="A77" s="246">
        <v>6.2</v>
      </c>
      <c r="B77" s="103" t="s">
        <v>71</v>
      </c>
      <c r="C77" s="66">
        <v>1250</v>
      </c>
      <c r="D77" s="81" t="s">
        <v>40</v>
      </c>
      <c r="E77" s="19">
        <f>+'Analisis de costos actualizados'!C248</f>
        <v>30</v>
      </c>
      <c r="F77" s="229">
        <f t="shared" si="11"/>
        <v>37500</v>
      </c>
      <c r="G77" s="495">
        <f>+'Presupuesto Base 1'!F75+'Presupuesto Equilibrio Economc'!F237-'Presupuesto Actual compl'!F77</f>
        <v>0</v>
      </c>
      <c r="H77" s="502">
        <f>+'Presupuesto actualizado'!F237+'Presupuesto actualizado'!F75</f>
        <v>37500</v>
      </c>
    </row>
    <row r="78" spans="1:9" x14ac:dyDescent="0.25">
      <c r="A78" s="246">
        <v>6.3</v>
      </c>
      <c r="B78" s="103" t="s">
        <v>72</v>
      </c>
      <c r="C78" s="66">
        <v>7310</v>
      </c>
      <c r="D78" s="81" t="s">
        <v>40</v>
      </c>
      <c r="E78" s="19">
        <f>+'Analisis de costos actualizados'!C249</f>
        <v>25</v>
      </c>
      <c r="F78" s="229">
        <f t="shared" si="11"/>
        <v>182750</v>
      </c>
      <c r="G78" s="495">
        <f>+'Presupuesto Base 1'!F76+'Presupuesto Equilibrio Economc'!F238-'Presupuesto Actual compl'!F78</f>
        <v>0</v>
      </c>
      <c r="H78" s="502">
        <f>+'Presupuesto actualizado'!F238+'Presupuesto actualizado'!F76</f>
        <v>182750</v>
      </c>
    </row>
    <row r="79" spans="1:9" x14ac:dyDescent="0.25">
      <c r="A79" s="246">
        <v>6.4</v>
      </c>
      <c r="B79" s="103" t="s">
        <v>73</v>
      </c>
      <c r="C79" s="66">
        <v>11167</v>
      </c>
      <c r="D79" s="81" t="s">
        <v>40</v>
      </c>
      <c r="E79" s="19">
        <f>+'Analisis de costos actualizados'!C250</f>
        <v>20</v>
      </c>
      <c r="F79" s="229">
        <f t="shared" si="11"/>
        <v>223340</v>
      </c>
      <c r="G79" s="495">
        <f>+'Presupuesto Base 1'!F77+'Presupuesto Equilibrio Economc'!F239-'Presupuesto Actual compl'!F79</f>
        <v>0</v>
      </c>
      <c r="H79" s="502">
        <f>+'Presupuesto actualizado'!F239+'Presupuesto actualizado'!F77</f>
        <v>223340</v>
      </c>
      <c r="I79" s="471">
        <f>+SUM(H76:H79)</f>
        <v>504651</v>
      </c>
    </row>
    <row r="80" spans="1:9" x14ac:dyDescent="0.25">
      <c r="A80" s="246"/>
      <c r="B80" s="103"/>
      <c r="C80" s="66"/>
      <c r="D80" s="81"/>
      <c r="E80" s="19"/>
      <c r="F80" s="229"/>
      <c r="G80" s="495">
        <f>+'Presupuesto Base 1'!F78+'Presupuesto Equilibrio Economc'!F240-'Presupuesto Actual compl'!F80</f>
        <v>0</v>
      </c>
      <c r="H80" s="502">
        <f>+'Presupuesto actualizado'!F240+'Presupuesto actualizado'!F78</f>
        <v>0</v>
      </c>
    </row>
    <row r="81" spans="1:9" x14ac:dyDescent="0.25">
      <c r="A81" s="249">
        <v>7</v>
      </c>
      <c r="B81" s="65" t="s">
        <v>75</v>
      </c>
      <c r="C81" s="66"/>
      <c r="D81" s="81"/>
      <c r="E81" s="27"/>
      <c r="F81" s="229"/>
      <c r="G81" s="495">
        <f>+'Presupuesto Base 1'!F79+'Presupuesto Equilibrio Economc'!F241-'Presupuesto Actual compl'!F81</f>
        <v>0</v>
      </c>
      <c r="H81" s="502">
        <f>+'Presupuesto actualizado'!F241+'Presupuesto actualizado'!F79</f>
        <v>0</v>
      </c>
    </row>
    <row r="82" spans="1:9" x14ac:dyDescent="0.25">
      <c r="A82" s="249">
        <v>7.1</v>
      </c>
      <c r="B82" s="65" t="s">
        <v>76</v>
      </c>
      <c r="C82" s="66"/>
      <c r="D82" s="81"/>
      <c r="E82" s="27"/>
      <c r="F82" s="229"/>
      <c r="G82" s="495">
        <f>+'Presupuesto Base 1'!F80+'Presupuesto Equilibrio Economc'!F242-'Presupuesto Actual compl'!F82</f>
        <v>0</v>
      </c>
      <c r="H82" s="502">
        <f>+'Presupuesto actualizado'!F242+'Presupuesto actualizado'!F80</f>
        <v>0</v>
      </c>
    </row>
    <row r="83" spans="1:9" x14ac:dyDescent="0.25">
      <c r="A83" s="250" t="s">
        <v>77</v>
      </c>
      <c r="B83" s="61" t="s">
        <v>78</v>
      </c>
      <c r="C83" s="69">
        <v>1</v>
      </c>
      <c r="D83" s="57" t="s">
        <v>24</v>
      </c>
      <c r="E83" s="24">
        <f>+'Analisis de costos actualizados'!H265</f>
        <v>6891.295615</v>
      </c>
      <c r="F83" s="229">
        <f t="shared" ref="F83:F96" si="12">+E83*C83</f>
        <v>6891.295615</v>
      </c>
      <c r="G83" s="495">
        <f>+'Presupuesto Base 1'!F81+'Presupuesto Equilibrio Economc'!F243-'Presupuesto Actual compl'!F83</f>
        <v>0</v>
      </c>
      <c r="H83" s="502">
        <f>+'Presupuesto actualizado'!F243+'Presupuesto actualizado'!F81</f>
        <v>6891.295615</v>
      </c>
    </row>
    <row r="84" spans="1:9" x14ac:dyDescent="0.25">
      <c r="A84" s="250" t="s">
        <v>79</v>
      </c>
      <c r="B84" s="61" t="s">
        <v>80</v>
      </c>
      <c r="C84" s="69">
        <v>1</v>
      </c>
      <c r="D84" s="57" t="s">
        <v>24</v>
      </c>
      <c r="E84" s="24">
        <f>+E83</f>
        <v>6891.295615</v>
      </c>
      <c r="F84" s="229">
        <f t="shared" si="12"/>
        <v>6891.295615</v>
      </c>
      <c r="G84" s="495">
        <f>+'Presupuesto Base 1'!F82+'Presupuesto Equilibrio Economc'!F244-'Presupuesto Actual compl'!F84</f>
        <v>0</v>
      </c>
      <c r="H84" s="502">
        <f>+'Presupuesto actualizado'!F244+'Presupuesto actualizado'!F82</f>
        <v>6891.295615</v>
      </c>
    </row>
    <row r="85" spans="1:9" x14ac:dyDescent="0.25">
      <c r="A85" s="250" t="s">
        <v>81</v>
      </c>
      <c r="B85" s="61" t="s">
        <v>82</v>
      </c>
      <c r="C85" s="69">
        <v>3</v>
      </c>
      <c r="D85" s="57" t="s">
        <v>24</v>
      </c>
      <c r="E85" s="24">
        <f t="shared" ref="E85:E96" si="13">+E84</f>
        <v>6891.295615</v>
      </c>
      <c r="F85" s="229">
        <f t="shared" si="12"/>
        <v>20673.886845000001</v>
      </c>
      <c r="G85" s="495">
        <f>+'Presupuesto Base 1'!F83+'Presupuesto Equilibrio Economc'!F245-'Presupuesto Actual compl'!F85</f>
        <v>0</v>
      </c>
      <c r="H85" s="502">
        <f>+'Presupuesto actualizado'!F245+'Presupuesto actualizado'!F83</f>
        <v>20673.886845000001</v>
      </c>
    </row>
    <row r="86" spans="1:9" x14ac:dyDescent="0.25">
      <c r="A86" s="250" t="s">
        <v>83</v>
      </c>
      <c r="B86" s="61" t="s">
        <v>26</v>
      </c>
      <c r="C86" s="69">
        <v>5</v>
      </c>
      <c r="D86" s="57" t="s">
        <v>24</v>
      </c>
      <c r="E86" s="24">
        <f t="shared" si="13"/>
        <v>6891.295615</v>
      </c>
      <c r="F86" s="229">
        <f t="shared" si="12"/>
        <v>34456.478074999999</v>
      </c>
      <c r="G86" s="495">
        <f>+'Presupuesto Base 1'!F84+'Presupuesto Equilibrio Economc'!F246-'Presupuesto Actual compl'!F86</f>
        <v>0</v>
      </c>
      <c r="H86" s="502">
        <f>+'Presupuesto actualizado'!F246+'Presupuesto actualizado'!F84</f>
        <v>34456.478074999999</v>
      </c>
    </row>
    <row r="87" spans="1:9" x14ac:dyDescent="0.25">
      <c r="A87" s="250" t="s">
        <v>84</v>
      </c>
      <c r="B87" s="61" t="s">
        <v>85</v>
      </c>
      <c r="C87" s="69">
        <v>2</v>
      </c>
      <c r="D87" s="57" t="s">
        <v>24</v>
      </c>
      <c r="E87" s="24">
        <f t="shared" si="13"/>
        <v>6891.295615</v>
      </c>
      <c r="F87" s="229">
        <f t="shared" si="12"/>
        <v>13782.59123</v>
      </c>
      <c r="G87" s="495">
        <f>+'Presupuesto Base 1'!F85+'Presupuesto Equilibrio Economc'!F247-'Presupuesto Actual compl'!F87</f>
        <v>0</v>
      </c>
      <c r="H87" s="502">
        <f>+'Presupuesto actualizado'!F247+'Presupuesto actualizado'!F85</f>
        <v>13782.59123</v>
      </c>
    </row>
    <row r="88" spans="1:9" x14ac:dyDescent="0.25">
      <c r="A88" s="250" t="s">
        <v>86</v>
      </c>
      <c r="B88" s="61" t="s">
        <v>87</v>
      </c>
      <c r="C88" s="69">
        <v>2</v>
      </c>
      <c r="D88" s="57" t="s">
        <v>24</v>
      </c>
      <c r="E88" s="24">
        <f t="shared" si="13"/>
        <v>6891.295615</v>
      </c>
      <c r="F88" s="229">
        <f t="shared" si="12"/>
        <v>13782.59123</v>
      </c>
      <c r="G88" s="495">
        <f>+'Presupuesto Base 1'!F86+'Presupuesto Equilibrio Economc'!F248-'Presupuesto Actual compl'!F88</f>
        <v>0</v>
      </c>
      <c r="H88" s="502">
        <f>+'Presupuesto actualizado'!F248+'Presupuesto actualizado'!F86</f>
        <v>13782.59123</v>
      </c>
    </row>
    <row r="89" spans="1:9" x14ac:dyDescent="0.25">
      <c r="A89" s="250" t="s">
        <v>88</v>
      </c>
      <c r="B89" s="61" t="s">
        <v>89</v>
      </c>
      <c r="C89" s="69">
        <v>2</v>
      </c>
      <c r="D89" s="57" t="s">
        <v>24</v>
      </c>
      <c r="E89" s="24">
        <f t="shared" si="13"/>
        <v>6891.295615</v>
      </c>
      <c r="F89" s="229">
        <f t="shared" si="12"/>
        <v>13782.59123</v>
      </c>
      <c r="G89" s="495">
        <f>+'Presupuesto Base 1'!F87+'Presupuesto Equilibrio Economc'!F249-'Presupuesto Actual compl'!F89</f>
        <v>0</v>
      </c>
      <c r="H89" s="502">
        <f>+'Presupuesto actualizado'!F249+'Presupuesto actualizado'!F87</f>
        <v>13782.59123</v>
      </c>
    </row>
    <row r="90" spans="1:9" x14ac:dyDescent="0.25">
      <c r="A90" s="250" t="s">
        <v>90</v>
      </c>
      <c r="B90" s="61" t="s">
        <v>91</v>
      </c>
      <c r="C90" s="66">
        <v>1</v>
      </c>
      <c r="D90" s="57" t="s">
        <v>24</v>
      </c>
      <c r="E90" s="24">
        <f t="shared" si="13"/>
        <v>6891.295615</v>
      </c>
      <c r="F90" s="229">
        <f t="shared" si="12"/>
        <v>6891.295615</v>
      </c>
      <c r="G90" s="495">
        <f>+'Presupuesto Base 1'!F88+'Presupuesto Equilibrio Economc'!F250-'Presupuesto Actual compl'!F90</f>
        <v>0</v>
      </c>
      <c r="H90" s="502">
        <f>+'Presupuesto actualizado'!F250+'Presupuesto actualizado'!F88</f>
        <v>6891.295615</v>
      </c>
    </row>
    <row r="91" spans="1:9" x14ac:dyDescent="0.25">
      <c r="A91" s="250" t="s">
        <v>92</v>
      </c>
      <c r="B91" s="61" t="s">
        <v>93</v>
      </c>
      <c r="C91" s="66">
        <v>5</v>
      </c>
      <c r="D91" s="57" t="s">
        <v>24</v>
      </c>
      <c r="E91" s="24">
        <f t="shared" si="13"/>
        <v>6891.295615</v>
      </c>
      <c r="F91" s="229">
        <f t="shared" si="12"/>
        <v>34456.478074999999</v>
      </c>
      <c r="G91" s="495">
        <f>+'Presupuesto Base 1'!F89+'Presupuesto Equilibrio Economc'!F251-'Presupuesto Actual compl'!F91</f>
        <v>0</v>
      </c>
      <c r="H91" s="502">
        <f>+'Presupuesto actualizado'!F251+'Presupuesto actualizado'!F89</f>
        <v>34456.478074999999</v>
      </c>
    </row>
    <row r="92" spans="1:9" x14ac:dyDescent="0.25">
      <c r="A92" s="250" t="s">
        <v>94</v>
      </c>
      <c r="B92" s="61" t="s">
        <v>95</v>
      </c>
      <c r="C92" s="66">
        <v>1</v>
      </c>
      <c r="D92" s="57" t="s">
        <v>24</v>
      </c>
      <c r="E92" s="24">
        <f t="shared" si="13"/>
        <v>6891.295615</v>
      </c>
      <c r="F92" s="229">
        <f t="shared" si="12"/>
        <v>6891.295615</v>
      </c>
      <c r="G92" s="495">
        <f>+'Presupuesto Base 1'!F90+'Presupuesto Equilibrio Economc'!F252-'Presupuesto Actual compl'!F92</f>
        <v>0</v>
      </c>
      <c r="H92" s="502">
        <f>+'Presupuesto actualizado'!F252+'Presupuesto actualizado'!F90</f>
        <v>6891.295615</v>
      </c>
    </row>
    <row r="93" spans="1:9" x14ac:dyDescent="0.25">
      <c r="A93" s="250" t="s">
        <v>96</v>
      </c>
      <c r="B93" s="61" t="s">
        <v>97</v>
      </c>
      <c r="C93" s="66">
        <v>1</v>
      </c>
      <c r="D93" s="57" t="s">
        <v>24</v>
      </c>
      <c r="E93" s="24">
        <f t="shared" si="13"/>
        <v>6891.295615</v>
      </c>
      <c r="F93" s="229">
        <f t="shared" si="12"/>
        <v>6891.295615</v>
      </c>
      <c r="G93" s="495">
        <f>+'Presupuesto Base 1'!F91+'Presupuesto Equilibrio Economc'!F253-'Presupuesto Actual compl'!F93</f>
        <v>0</v>
      </c>
      <c r="H93" s="502">
        <f>+'Presupuesto actualizado'!F253+'Presupuesto actualizado'!F91</f>
        <v>6891.295615</v>
      </c>
    </row>
    <row r="94" spans="1:9" x14ac:dyDescent="0.25">
      <c r="A94" s="250" t="s">
        <v>98</v>
      </c>
      <c r="B94" s="61" t="s">
        <v>99</v>
      </c>
      <c r="C94" s="66">
        <v>1</v>
      </c>
      <c r="D94" s="57" t="s">
        <v>24</v>
      </c>
      <c r="E94" s="24">
        <f t="shared" si="13"/>
        <v>6891.295615</v>
      </c>
      <c r="F94" s="229">
        <f t="shared" si="12"/>
        <v>6891.295615</v>
      </c>
      <c r="G94" s="495">
        <f>+'Presupuesto Base 1'!F92+'Presupuesto Equilibrio Economc'!F254-'Presupuesto Actual compl'!F94</f>
        <v>0</v>
      </c>
      <c r="H94" s="502">
        <f>+'Presupuesto actualizado'!F254+'Presupuesto actualizado'!F92</f>
        <v>6891.295615</v>
      </c>
    </row>
    <row r="95" spans="1:9" x14ac:dyDescent="0.25">
      <c r="A95" s="250" t="s">
        <v>100</v>
      </c>
      <c r="B95" s="61" t="s">
        <v>101</v>
      </c>
      <c r="C95" s="66">
        <v>1</v>
      </c>
      <c r="D95" s="57" t="s">
        <v>24</v>
      </c>
      <c r="E95" s="24">
        <f t="shared" si="13"/>
        <v>6891.295615</v>
      </c>
      <c r="F95" s="229">
        <f t="shared" si="12"/>
        <v>6891.295615</v>
      </c>
      <c r="G95" s="495">
        <f>+'Presupuesto Base 1'!F93+'Presupuesto Equilibrio Economc'!F255-'Presupuesto Actual compl'!F95</f>
        <v>0</v>
      </c>
      <c r="H95" s="502">
        <f>+'Presupuesto actualizado'!F255+'Presupuesto actualizado'!F93</f>
        <v>6891.295615</v>
      </c>
    </row>
    <row r="96" spans="1:9" x14ac:dyDescent="0.25">
      <c r="A96" s="251" t="s">
        <v>102</v>
      </c>
      <c r="B96" s="109" t="s">
        <v>103</v>
      </c>
      <c r="C96" s="90">
        <v>2</v>
      </c>
      <c r="D96" s="110" t="s">
        <v>24</v>
      </c>
      <c r="E96" s="24">
        <f t="shared" si="13"/>
        <v>6891.295615</v>
      </c>
      <c r="F96" s="229">
        <f t="shared" si="12"/>
        <v>13782.59123</v>
      </c>
      <c r="G96" s="495">
        <f>+'Presupuesto Base 1'!F94+'Presupuesto Equilibrio Economc'!F256-'Presupuesto Actual compl'!F96</f>
        <v>0</v>
      </c>
      <c r="H96" s="502">
        <f>+'Presupuesto actualizado'!F256+'Presupuesto actualizado'!F94</f>
        <v>13782.59123</v>
      </c>
      <c r="I96" s="471">
        <f>+SUM(H83:H96)</f>
        <v>192956.27722000005</v>
      </c>
    </row>
    <row r="97" spans="1:9" x14ac:dyDescent="0.25">
      <c r="A97" s="250"/>
      <c r="B97" s="61"/>
      <c r="C97" s="69"/>
      <c r="D97" s="57"/>
      <c r="E97" s="24"/>
      <c r="F97" s="229"/>
      <c r="G97" s="495">
        <f>+'Presupuesto Base 1'!F95+'Presupuesto Equilibrio Economc'!F257-'Presupuesto Actual compl'!F97</f>
        <v>0</v>
      </c>
      <c r="H97" s="502">
        <f>+'Presupuesto actualizado'!F257+'Presupuesto actualizado'!F95</f>
        <v>0</v>
      </c>
    </row>
    <row r="98" spans="1:9" x14ac:dyDescent="0.25">
      <c r="A98" s="252">
        <v>7.2</v>
      </c>
      <c r="B98" s="65" t="s">
        <v>104</v>
      </c>
      <c r="C98" s="69"/>
      <c r="D98" s="57"/>
      <c r="E98" s="24"/>
      <c r="F98" s="229"/>
      <c r="G98" s="495">
        <f>+'Presupuesto Base 1'!F96+'Presupuesto Equilibrio Economc'!F258-'Presupuesto Actual compl'!F98</f>
        <v>0</v>
      </c>
      <c r="H98" s="502">
        <f>+'Presupuesto actualizado'!F258+'Presupuesto actualizado'!F96</f>
        <v>0</v>
      </c>
    </row>
    <row r="99" spans="1:9" x14ac:dyDescent="0.25">
      <c r="A99" s="250" t="s">
        <v>105</v>
      </c>
      <c r="B99" s="61" t="s">
        <v>106</v>
      </c>
      <c r="C99" s="69">
        <v>7</v>
      </c>
      <c r="D99" s="57" t="s">
        <v>24</v>
      </c>
      <c r="E99" s="24">
        <f>+'Analisis de costos actualizados'!H281</f>
        <v>5539.9456149999996</v>
      </c>
      <c r="F99" s="229">
        <f t="shared" ref="F99:F111" si="14">+E99*C99</f>
        <v>38779.619305</v>
      </c>
      <c r="G99" s="495">
        <f>+'Presupuesto Base 1'!F97+'Presupuesto Equilibrio Economc'!F259-'Presupuesto Actual compl'!F99</f>
        <v>0</v>
      </c>
      <c r="H99" s="502">
        <f>+'Presupuesto actualizado'!F259+'Presupuesto actualizado'!F97</f>
        <v>38779.619305</v>
      </c>
    </row>
    <row r="100" spans="1:9" x14ac:dyDescent="0.25">
      <c r="A100" s="250" t="s">
        <v>107</v>
      </c>
      <c r="B100" s="61" t="s">
        <v>108</v>
      </c>
      <c r="C100" s="69">
        <v>3</v>
      </c>
      <c r="D100" s="57" t="s">
        <v>24</v>
      </c>
      <c r="E100" s="24">
        <f>+E99</f>
        <v>5539.9456149999996</v>
      </c>
      <c r="F100" s="229">
        <f t="shared" si="14"/>
        <v>16619.836844999998</v>
      </c>
      <c r="G100" s="495">
        <f>+'Presupuesto Base 1'!F98+'Presupuesto Equilibrio Economc'!F260-'Presupuesto Actual compl'!F100</f>
        <v>0</v>
      </c>
      <c r="H100" s="502">
        <f>+'Presupuesto actualizado'!F260+'Presupuesto actualizado'!F98</f>
        <v>16619.836844999998</v>
      </c>
    </row>
    <row r="101" spans="1:9" x14ac:dyDescent="0.25">
      <c r="A101" s="250" t="s">
        <v>109</v>
      </c>
      <c r="B101" s="61" t="s">
        <v>110</v>
      </c>
      <c r="C101" s="69">
        <v>10</v>
      </c>
      <c r="D101" s="57" t="s">
        <v>24</v>
      </c>
      <c r="E101" s="24">
        <f t="shared" ref="E101:E107" si="15">+E100</f>
        <v>5539.9456149999996</v>
      </c>
      <c r="F101" s="229">
        <f t="shared" si="14"/>
        <v>55399.456149999998</v>
      </c>
      <c r="G101" s="495">
        <f>+'Presupuesto Base 1'!F99+'Presupuesto Equilibrio Economc'!F261-'Presupuesto Actual compl'!F101</f>
        <v>0</v>
      </c>
      <c r="H101" s="502">
        <f>+'Presupuesto actualizado'!F261+'Presupuesto actualizado'!F99</f>
        <v>55399.456149999998</v>
      </c>
    </row>
    <row r="102" spans="1:9" x14ac:dyDescent="0.25">
      <c r="A102" s="250" t="s">
        <v>111</v>
      </c>
      <c r="B102" s="61" t="s">
        <v>112</v>
      </c>
      <c r="C102" s="69">
        <v>18</v>
      </c>
      <c r="D102" s="57" t="s">
        <v>24</v>
      </c>
      <c r="E102" s="24">
        <f t="shared" si="15"/>
        <v>5539.9456149999996</v>
      </c>
      <c r="F102" s="229">
        <f t="shared" si="14"/>
        <v>99719.021069999988</v>
      </c>
      <c r="G102" s="495">
        <f>+'Presupuesto Base 1'!F100+'Presupuesto Equilibrio Economc'!F262-'Presupuesto Actual compl'!F102</f>
        <v>0</v>
      </c>
      <c r="H102" s="502">
        <f>+'Presupuesto actualizado'!F262+'Presupuesto actualizado'!F100</f>
        <v>99719.021069999988</v>
      </c>
    </row>
    <row r="103" spans="1:9" x14ac:dyDescent="0.25">
      <c r="A103" s="250" t="s">
        <v>113</v>
      </c>
      <c r="B103" s="61" t="s">
        <v>114</v>
      </c>
      <c r="C103" s="66">
        <v>35</v>
      </c>
      <c r="D103" s="57" t="s">
        <v>24</v>
      </c>
      <c r="E103" s="24">
        <f t="shared" si="15"/>
        <v>5539.9456149999996</v>
      </c>
      <c r="F103" s="229">
        <f t="shared" si="14"/>
        <v>193898.096525</v>
      </c>
      <c r="G103" s="495">
        <f>+'Presupuesto Base 1'!F101+'Presupuesto Equilibrio Economc'!F263-'Presupuesto Actual compl'!F103</f>
        <v>0</v>
      </c>
      <c r="H103" s="502">
        <f>+'Presupuesto actualizado'!F263+'Presupuesto actualizado'!F101</f>
        <v>193898.096525</v>
      </c>
    </row>
    <row r="104" spans="1:9" x14ac:dyDescent="0.25">
      <c r="A104" s="250" t="s">
        <v>115</v>
      </c>
      <c r="B104" s="61" t="s">
        <v>116</v>
      </c>
      <c r="C104" s="56">
        <v>4</v>
      </c>
      <c r="D104" s="57" t="s">
        <v>24</v>
      </c>
      <c r="E104" s="24">
        <f t="shared" si="15"/>
        <v>5539.9456149999996</v>
      </c>
      <c r="F104" s="229">
        <f t="shared" si="14"/>
        <v>22159.782459999999</v>
      </c>
      <c r="G104" s="495">
        <f>+'Presupuesto Base 1'!F102+'Presupuesto Equilibrio Economc'!F264-'Presupuesto Actual compl'!F104</f>
        <v>0</v>
      </c>
      <c r="H104" s="502">
        <f>+'Presupuesto actualizado'!F264+'Presupuesto actualizado'!F102</f>
        <v>22159.782459999999</v>
      </c>
    </row>
    <row r="105" spans="1:9" x14ac:dyDescent="0.25">
      <c r="A105" s="250" t="s">
        <v>117</v>
      </c>
      <c r="B105" s="61" t="s">
        <v>118</v>
      </c>
      <c r="C105" s="56">
        <v>41</v>
      </c>
      <c r="D105" s="57" t="s">
        <v>24</v>
      </c>
      <c r="E105" s="24">
        <f t="shared" si="15"/>
        <v>5539.9456149999996</v>
      </c>
      <c r="F105" s="229">
        <f t="shared" si="14"/>
        <v>227137.770215</v>
      </c>
      <c r="G105" s="495">
        <f>+'Presupuesto Base 1'!F103+'Presupuesto Equilibrio Economc'!F265-'Presupuesto Actual compl'!F105</f>
        <v>0</v>
      </c>
      <c r="H105" s="502">
        <f>+'Presupuesto actualizado'!F265+'Presupuesto actualizado'!F103</f>
        <v>227137.770215</v>
      </c>
    </row>
    <row r="106" spans="1:9" x14ac:dyDescent="0.25">
      <c r="A106" s="250" t="s">
        <v>119</v>
      </c>
      <c r="B106" s="61" t="s">
        <v>120</v>
      </c>
      <c r="C106" s="56">
        <v>44</v>
      </c>
      <c r="D106" s="57" t="s">
        <v>24</v>
      </c>
      <c r="E106" s="24">
        <f t="shared" si="15"/>
        <v>5539.9456149999996</v>
      </c>
      <c r="F106" s="229">
        <f t="shared" si="14"/>
        <v>243757.60705999998</v>
      </c>
      <c r="G106" s="495">
        <f>+'Presupuesto Base 1'!F104+'Presupuesto Equilibrio Economc'!F266-'Presupuesto Actual compl'!F106</f>
        <v>0</v>
      </c>
      <c r="H106" s="502">
        <f>+'Presupuesto actualizado'!F266+'Presupuesto actualizado'!F104</f>
        <v>243757.60705999998</v>
      </c>
    </row>
    <row r="107" spans="1:9" x14ac:dyDescent="0.25">
      <c r="A107" s="250" t="s">
        <v>121</v>
      </c>
      <c r="B107" s="61" t="s">
        <v>122</v>
      </c>
      <c r="C107" s="69">
        <v>15</v>
      </c>
      <c r="D107" s="57" t="s">
        <v>24</v>
      </c>
      <c r="E107" s="24">
        <f t="shared" si="15"/>
        <v>5539.9456149999996</v>
      </c>
      <c r="F107" s="229">
        <f t="shared" si="14"/>
        <v>83099.18422499999</v>
      </c>
      <c r="G107" s="495">
        <f>+'Presupuesto Base 1'!F105+'Presupuesto Equilibrio Economc'!F267-'Presupuesto Actual compl'!F107</f>
        <v>0</v>
      </c>
      <c r="H107" s="502">
        <f>+'Presupuesto actualizado'!F267+'Presupuesto actualizado'!F105</f>
        <v>83099.18422499999</v>
      </c>
    </row>
    <row r="108" spans="1:9" ht="13.8" x14ac:dyDescent="0.25">
      <c r="A108" s="250" t="s">
        <v>123</v>
      </c>
      <c r="B108" s="61" t="s">
        <v>124</v>
      </c>
      <c r="C108" s="69">
        <v>46</v>
      </c>
      <c r="D108" s="57" t="s">
        <v>24</v>
      </c>
      <c r="E108" s="24">
        <v>1500</v>
      </c>
      <c r="F108" s="229">
        <f t="shared" si="14"/>
        <v>69000</v>
      </c>
      <c r="G108" s="495">
        <f>+'Presupuesto Base 1'!F106+'Presupuesto Equilibrio Economc'!F268-'Presupuesto Actual compl'!F108</f>
        <v>0</v>
      </c>
      <c r="H108" s="502">
        <f>+'Presupuesto actualizado'!F268+'Presupuesto actualizado'!F106</f>
        <v>69000</v>
      </c>
    </row>
    <row r="109" spans="1:9" x14ac:dyDescent="0.25">
      <c r="A109" s="250" t="s">
        <v>125</v>
      </c>
      <c r="B109" s="61" t="s">
        <v>126</v>
      </c>
      <c r="C109" s="69">
        <v>510</v>
      </c>
      <c r="D109" s="57" t="s">
        <v>24</v>
      </c>
      <c r="E109" s="24">
        <v>1100</v>
      </c>
      <c r="F109" s="229">
        <f t="shared" si="14"/>
        <v>561000</v>
      </c>
      <c r="G109" s="495">
        <f>+'Presupuesto Base 1'!F107+'Presupuesto Equilibrio Economc'!F269-'Presupuesto Actual compl'!F109</f>
        <v>0</v>
      </c>
      <c r="H109" s="502">
        <f>+'Presupuesto actualizado'!F269+'Presupuesto actualizado'!F107</f>
        <v>561000</v>
      </c>
    </row>
    <row r="110" spans="1:9" x14ac:dyDescent="0.25">
      <c r="A110" s="250" t="s">
        <v>127</v>
      </c>
      <c r="B110" s="112" t="s">
        <v>128</v>
      </c>
      <c r="C110" s="69">
        <v>177</v>
      </c>
      <c r="D110" s="57" t="s">
        <v>24</v>
      </c>
      <c r="E110" s="24">
        <v>4500</v>
      </c>
      <c r="F110" s="229">
        <f t="shared" si="14"/>
        <v>796500</v>
      </c>
      <c r="G110" s="495">
        <f>+'Presupuesto Base 1'!F108+'Presupuesto Equilibrio Economc'!F270-'Presupuesto Actual compl'!F110</f>
        <v>0</v>
      </c>
      <c r="H110" s="502">
        <f>+'Presupuesto actualizado'!F270+'Presupuesto actualizado'!F108</f>
        <v>796500</v>
      </c>
    </row>
    <row r="111" spans="1:9" x14ac:dyDescent="0.25">
      <c r="A111" s="250" t="s">
        <v>129</v>
      </c>
      <c r="B111" s="61" t="s">
        <v>130</v>
      </c>
      <c r="C111" s="69">
        <v>46</v>
      </c>
      <c r="D111" s="57" t="s">
        <v>24</v>
      </c>
      <c r="E111" s="24">
        <v>2500</v>
      </c>
      <c r="F111" s="229">
        <f t="shared" si="14"/>
        <v>115000</v>
      </c>
      <c r="G111" s="495">
        <f>+'Presupuesto Base 1'!F109+'Presupuesto Equilibrio Economc'!F271-'Presupuesto Actual compl'!F111</f>
        <v>0</v>
      </c>
      <c r="H111" s="502">
        <f>+'Presupuesto actualizado'!F271+'Presupuesto actualizado'!F109</f>
        <v>115000</v>
      </c>
      <c r="I111" s="471">
        <f>+SUM(H99:H111)</f>
        <v>2522070.3738549999</v>
      </c>
    </row>
    <row r="112" spans="1:9" x14ac:dyDescent="0.25">
      <c r="A112" s="253"/>
      <c r="B112" s="114"/>
      <c r="C112" s="115"/>
      <c r="D112" s="81"/>
      <c r="E112" s="27"/>
      <c r="F112" s="229"/>
      <c r="G112" s="495">
        <f>+'Presupuesto Base 1'!F110+'Presupuesto Equilibrio Economc'!F272-'Presupuesto Actual compl'!F112</f>
        <v>0</v>
      </c>
      <c r="H112" s="502">
        <f>+'Presupuesto actualizado'!F272+'Presupuesto actualizado'!F110</f>
        <v>0</v>
      </c>
    </row>
    <row r="113" spans="1:9" x14ac:dyDescent="0.25">
      <c r="A113" s="254">
        <v>8</v>
      </c>
      <c r="B113" s="117" t="s">
        <v>131</v>
      </c>
      <c r="C113" s="69"/>
      <c r="D113" s="57"/>
      <c r="E113" s="24"/>
      <c r="F113" s="229"/>
      <c r="G113" s="495">
        <f>+'Presupuesto Base 1'!F111+'Presupuesto Equilibrio Economc'!F273-'Presupuesto Actual compl'!F113</f>
        <v>0</v>
      </c>
      <c r="H113" s="502">
        <f>+'Presupuesto actualizado'!F273+'Presupuesto actualizado'!F111</f>
        <v>0</v>
      </c>
    </row>
    <row r="114" spans="1:9" x14ac:dyDescent="0.25">
      <c r="A114" s="255">
        <v>8.1</v>
      </c>
      <c r="B114" s="61" t="s">
        <v>132</v>
      </c>
      <c r="C114" s="69">
        <v>27</v>
      </c>
      <c r="D114" s="57" t="s">
        <v>24</v>
      </c>
      <c r="E114" s="24">
        <v>10307.656000000001</v>
      </c>
      <c r="F114" s="229">
        <f t="shared" ref="F114:F117" si="16">+E114*C114</f>
        <v>278306.712</v>
      </c>
      <c r="G114" s="495">
        <f>+'Presupuesto Base 1'!F112+'Presupuesto Equilibrio Economc'!F274-'Presupuesto Actual compl'!F114</f>
        <v>0</v>
      </c>
      <c r="H114" s="502">
        <f>+'Presupuesto actualizado'!F274+'Presupuesto actualizado'!F112</f>
        <v>278306.712</v>
      </c>
    </row>
    <row r="115" spans="1:9" x14ac:dyDescent="0.25">
      <c r="A115" s="255">
        <v>8.1999999999999993</v>
      </c>
      <c r="B115" s="88" t="s">
        <v>133</v>
      </c>
      <c r="C115" s="69">
        <v>22</v>
      </c>
      <c r="D115" s="57" t="s">
        <v>24</v>
      </c>
      <c r="E115" s="24">
        <v>7439.4580000000005</v>
      </c>
      <c r="F115" s="229">
        <f t="shared" si="16"/>
        <v>163668.076</v>
      </c>
      <c r="G115" s="495">
        <f>+'Presupuesto Base 1'!F113+'Presupuesto Equilibrio Economc'!F275-'Presupuesto Actual compl'!F115</f>
        <v>0</v>
      </c>
      <c r="H115" s="502">
        <f>+'Presupuesto actualizado'!F275+'Presupuesto actualizado'!F113</f>
        <v>163668.076</v>
      </c>
    </row>
    <row r="116" spans="1:9" x14ac:dyDescent="0.25">
      <c r="A116" s="255">
        <v>8.3000000000000007</v>
      </c>
      <c r="B116" s="88" t="s">
        <v>134</v>
      </c>
      <c r="C116" s="69">
        <v>7</v>
      </c>
      <c r="D116" s="57" t="s">
        <v>24</v>
      </c>
      <c r="E116" s="24">
        <v>5619.1350000000002</v>
      </c>
      <c r="F116" s="229">
        <f t="shared" si="16"/>
        <v>39333.945</v>
      </c>
      <c r="G116" s="495">
        <f>+'Presupuesto Base 1'!F114+'Presupuesto Equilibrio Economc'!F276-'Presupuesto Actual compl'!F116</f>
        <v>0</v>
      </c>
      <c r="H116" s="502">
        <f>+'Presupuesto actualizado'!F276+'Presupuesto actualizado'!F114</f>
        <v>39333.945</v>
      </c>
    </row>
    <row r="117" spans="1:9" x14ac:dyDescent="0.25">
      <c r="A117" s="255">
        <v>8.4</v>
      </c>
      <c r="B117" s="61" t="s">
        <v>135</v>
      </c>
      <c r="C117" s="69">
        <v>16</v>
      </c>
      <c r="D117" s="57" t="s">
        <v>24</v>
      </c>
      <c r="E117" s="24">
        <v>5157.4639999999999</v>
      </c>
      <c r="F117" s="229">
        <f t="shared" si="16"/>
        <v>82519.423999999999</v>
      </c>
      <c r="G117" s="495">
        <f>+'Presupuesto Base 1'!F115+'Presupuesto Equilibrio Economc'!F277-'Presupuesto Actual compl'!F117</f>
        <v>0</v>
      </c>
      <c r="H117" s="502">
        <f>+'Presupuesto actualizado'!F277+'Presupuesto actualizado'!F115</f>
        <v>82519.423999999999</v>
      </c>
      <c r="I117" s="471">
        <f>+SUM(H114:H117)</f>
        <v>563828.15700000001</v>
      </c>
    </row>
    <row r="118" spans="1:9" x14ac:dyDescent="0.25">
      <c r="A118" s="255"/>
      <c r="B118" s="61"/>
      <c r="C118" s="69"/>
      <c r="D118" s="57"/>
      <c r="E118" s="24"/>
      <c r="F118" s="229"/>
      <c r="G118" s="495">
        <f>+'Presupuesto Base 1'!F116+'Presupuesto Equilibrio Economc'!F278-'Presupuesto Actual compl'!F118</f>
        <v>0</v>
      </c>
      <c r="H118" s="502">
        <f>+'Presupuesto actualizado'!F278+'Presupuesto actualizado'!F116</f>
        <v>0</v>
      </c>
    </row>
    <row r="119" spans="1:9" x14ac:dyDescent="0.25">
      <c r="A119" s="256">
        <v>9</v>
      </c>
      <c r="B119" s="120" t="s">
        <v>136</v>
      </c>
      <c r="C119" s="66"/>
      <c r="D119" s="57"/>
      <c r="E119" s="28"/>
      <c r="F119" s="229"/>
      <c r="G119" s="495">
        <f>+'Presupuesto Base 1'!F117+'Presupuesto Equilibrio Economc'!F279-'Presupuesto Actual compl'!F119</f>
        <v>0</v>
      </c>
      <c r="H119" s="502">
        <f>+'Presupuesto actualizado'!F279+'Presupuesto actualizado'!F117</f>
        <v>0</v>
      </c>
    </row>
    <row r="120" spans="1:9" x14ac:dyDescent="0.25">
      <c r="A120" s="243">
        <v>9.1</v>
      </c>
      <c r="B120" s="217" t="s">
        <v>137</v>
      </c>
      <c r="C120" s="66">
        <v>2</v>
      </c>
      <c r="D120" s="57" t="s">
        <v>24</v>
      </c>
      <c r="E120" s="28">
        <v>190902.6337823834</v>
      </c>
      <c r="F120" s="229">
        <f t="shared" ref="F120:F121" si="17">+E120*C120</f>
        <v>381805.26756476681</v>
      </c>
      <c r="G120" s="495">
        <f>+'Presupuesto Base 1'!F118+'Presupuesto Equilibrio Economc'!F280-'Presupuesto Actual compl'!F120</f>
        <v>0</v>
      </c>
      <c r="H120" s="502">
        <f>+'Presupuesto actualizado'!F280+'Presupuesto actualizado'!F118</f>
        <v>381805.26756476681</v>
      </c>
    </row>
    <row r="121" spans="1:9" x14ac:dyDescent="0.25">
      <c r="A121" s="243">
        <v>9.1999999999999993</v>
      </c>
      <c r="B121" s="217" t="s">
        <v>138</v>
      </c>
      <c r="C121" s="66">
        <v>1</v>
      </c>
      <c r="D121" s="57" t="s">
        <v>24</v>
      </c>
      <c r="E121" s="28">
        <v>185000</v>
      </c>
      <c r="F121" s="229">
        <f t="shared" si="17"/>
        <v>185000</v>
      </c>
      <c r="G121" s="495">
        <f>+'Presupuesto Base 1'!F119+'Presupuesto Equilibrio Economc'!F281-'Presupuesto Actual compl'!F121</f>
        <v>0</v>
      </c>
      <c r="H121" s="502">
        <f>+'Presupuesto actualizado'!F281+'Presupuesto actualizado'!F119</f>
        <v>185000</v>
      </c>
      <c r="I121" s="471">
        <f>+SUM(H120:H121)</f>
        <v>566805.26756476681</v>
      </c>
    </row>
    <row r="122" spans="1:9" x14ac:dyDescent="0.25">
      <c r="A122" s="253"/>
      <c r="B122" s="114"/>
      <c r="C122" s="115"/>
      <c r="D122" s="57"/>
      <c r="E122" s="27"/>
      <c r="F122" s="229"/>
      <c r="G122" s="495">
        <f>+'Presupuesto Base 1'!F120+'Presupuesto Equilibrio Economc'!F282-'Presupuesto Actual compl'!F122</f>
        <v>0</v>
      </c>
      <c r="H122" s="502">
        <f>+'Presupuesto actualizado'!F282+'Presupuesto actualizado'!F120</f>
        <v>0</v>
      </c>
    </row>
    <row r="123" spans="1:9" x14ac:dyDescent="0.25">
      <c r="A123" s="254">
        <v>10</v>
      </c>
      <c r="B123" s="63" t="s">
        <v>139</v>
      </c>
      <c r="C123" s="66"/>
      <c r="D123" s="57"/>
      <c r="E123" s="24"/>
      <c r="F123" s="229"/>
      <c r="G123" s="495">
        <f>+'Presupuesto Base 1'!F121+'Presupuesto Equilibrio Economc'!F283-'Presupuesto Actual compl'!F123</f>
        <v>0</v>
      </c>
      <c r="H123" s="502">
        <f>+'Presupuesto actualizado'!F283+'Presupuesto actualizado'!F121</f>
        <v>0</v>
      </c>
    </row>
    <row r="124" spans="1:9" ht="39.6" x14ac:dyDescent="0.25">
      <c r="A124" s="255">
        <v>10.1</v>
      </c>
      <c r="B124" s="122" t="s">
        <v>140</v>
      </c>
      <c r="C124" s="123">
        <v>2</v>
      </c>
      <c r="D124" s="57" t="s">
        <v>24</v>
      </c>
      <c r="E124" s="24">
        <f>+'Analisis de costos actualizados'!H289</f>
        <v>98840.380999999994</v>
      </c>
      <c r="F124" s="229">
        <f t="shared" ref="F124:F129" si="18">+E124*C124</f>
        <v>197680.76199999999</v>
      </c>
      <c r="G124" s="495">
        <f>+'Presupuesto Base 1'!F122+'Presupuesto Equilibrio Economc'!F284-'Presupuesto Actual compl'!F124</f>
        <v>0</v>
      </c>
      <c r="H124" s="502">
        <f>+'Presupuesto actualizado'!F284+'Presupuesto actualizado'!F122</f>
        <v>197680.76199999999</v>
      </c>
    </row>
    <row r="125" spans="1:9" ht="39.6" x14ac:dyDescent="0.25">
      <c r="A125" s="255">
        <v>10.199999999999999</v>
      </c>
      <c r="B125" s="122" t="s">
        <v>141</v>
      </c>
      <c r="C125" s="123">
        <v>1</v>
      </c>
      <c r="D125" s="57" t="s">
        <v>24</v>
      </c>
      <c r="E125" s="24">
        <f>+'Analisis de costos actualizados'!H285</f>
        <v>55050.7</v>
      </c>
      <c r="F125" s="229">
        <f t="shared" si="18"/>
        <v>55050.7</v>
      </c>
      <c r="G125" s="495">
        <f>+'Presupuesto Base 1'!F123+'Presupuesto Equilibrio Economc'!F285-'Presupuesto Actual compl'!F125</f>
        <v>0</v>
      </c>
      <c r="H125" s="502">
        <f>+'Presupuesto actualizado'!F285+'Presupuesto actualizado'!F123</f>
        <v>55050.7</v>
      </c>
    </row>
    <row r="126" spans="1:9" ht="39.6" x14ac:dyDescent="0.25">
      <c r="A126" s="255">
        <v>10.3</v>
      </c>
      <c r="B126" s="122" t="s">
        <v>142</v>
      </c>
      <c r="C126" s="123">
        <v>13</v>
      </c>
      <c r="D126" s="57" t="s">
        <v>24</v>
      </c>
      <c r="E126" s="24">
        <f>+'Analisis de costos actualizados'!H294</f>
        <v>49445.754000000001</v>
      </c>
      <c r="F126" s="229">
        <f t="shared" si="18"/>
        <v>642794.80200000003</v>
      </c>
      <c r="G126" s="495">
        <f>+'Presupuesto Base 1'!F124+'Presupuesto Equilibrio Economc'!F286-'Presupuesto Actual compl'!F126</f>
        <v>0</v>
      </c>
      <c r="H126" s="502">
        <f>+'Presupuesto actualizado'!F286+'Presupuesto actualizado'!F124</f>
        <v>642794.80200000003</v>
      </c>
    </row>
    <row r="127" spans="1:9" ht="39.6" x14ac:dyDescent="0.25">
      <c r="A127" s="255">
        <v>10.4</v>
      </c>
      <c r="B127" s="122" t="s">
        <v>143</v>
      </c>
      <c r="C127" s="123">
        <v>13</v>
      </c>
      <c r="D127" s="57" t="s">
        <v>24</v>
      </c>
      <c r="E127" s="24">
        <f>+'Analisis de costos actualizados'!H298</f>
        <v>36975.522000000004</v>
      </c>
      <c r="F127" s="229">
        <f t="shared" si="18"/>
        <v>480681.78600000008</v>
      </c>
      <c r="G127" s="495">
        <f>+'Presupuesto Base 1'!F125+'Presupuesto Equilibrio Economc'!F287-'Presupuesto Actual compl'!F127</f>
        <v>0</v>
      </c>
      <c r="H127" s="502">
        <f>+'Presupuesto actualizado'!F287+'Presupuesto actualizado'!F125</f>
        <v>480681.78600000008</v>
      </c>
    </row>
    <row r="128" spans="1:9" x14ac:dyDescent="0.25">
      <c r="A128" s="255">
        <v>10.5</v>
      </c>
      <c r="B128" s="122" t="s">
        <v>144</v>
      </c>
      <c r="C128" s="69">
        <v>18</v>
      </c>
      <c r="D128" s="57" t="s">
        <v>24</v>
      </c>
      <c r="E128" s="24">
        <v>5500</v>
      </c>
      <c r="F128" s="229">
        <f t="shared" si="18"/>
        <v>99000</v>
      </c>
      <c r="G128" s="495">
        <f>+'Presupuesto Base 1'!F126+'Presupuesto Equilibrio Economc'!F288-'Presupuesto Actual compl'!F128</f>
        <v>0</v>
      </c>
      <c r="H128" s="502">
        <f>+'Presupuesto actualizado'!F288+'Presupuesto actualizado'!F126</f>
        <v>99000</v>
      </c>
    </row>
    <row r="129" spans="1:10" x14ac:dyDescent="0.25">
      <c r="A129" s="255">
        <v>10.6</v>
      </c>
      <c r="B129" s="122" t="s">
        <v>145</v>
      </c>
      <c r="C129" s="69">
        <v>2</v>
      </c>
      <c r="D129" s="57" t="s">
        <v>24</v>
      </c>
      <c r="E129" s="24">
        <v>8000</v>
      </c>
      <c r="F129" s="229">
        <f t="shared" si="18"/>
        <v>16000</v>
      </c>
      <c r="G129" s="495">
        <f>+'Presupuesto Base 1'!F127+'Presupuesto Equilibrio Economc'!F289-'Presupuesto Actual compl'!F129</f>
        <v>0</v>
      </c>
      <c r="H129" s="502">
        <f>+'Presupuesto actualizado'!F289+'Presupuesto actualizado'!F127</f>
        <v>16000</v>
      </c>
      <c r="I129" s="471">
        <f>+SUM(H124:H129)</f>
        <v>1491208.05</v>
      </c>
    </row>
    <row r="130" spans="1:10" x14ac:dyDescent="0.25">
      <c r="A130" s="257"/>
      <c r="B130" s="125"/>
      <c r="C130" s="126"/>
      <c r="D130" s="127"/>
      <c r="E130" s="29"/>
      <c r="F130" s="229"/>
      <c r="G130" s="495">
        <f>+'Presupuesto Base 1'!F128+'Presupuesto Equilibrio Economc'!F290-'Presupuesto Actual compl'!F130</f>
        <v>0</v>
      </c>
      <c r="H130" s="502">
        <f>+'Presupuesto actualizado'!F290+'Presupuesto actualizado'!F128</f>
        <v>0</v>
      </c>
    </row>
    <row r="131" spans="1:10" x14ac:dyDescent="0.25">
      <c r="A131" s="254">
        <v>11</v>
      </c>
      <c r="B131" s="117" t="s">
        <v>146</v>
      </c>
      <c r="C131" s="123"/>
      <c r="D131" s="128"/>
      <c r="E131" s="30"/>
      <c r="F131" s="229"/>
      <c r="G131" s="495">
        <f>+'Presupuesto Base 1'!F129+'Presupuesto Equilibrio Economc'!F291-'Presupuesto Actual compl'!F131</f>
        <v>0</v>
      </c>
      <c r="H131" s="502">
        <f>+'Presupuesto actualizado'!F291+'Presupuesto actualizado'!F129</f>
        <v>0</v>
      </c>
    </row>
    <row r="132" spans="1:10" ht="26.4" x14ac:dyDescent="0.25">
      <c r="A132" s="258">
        <v>11.1</v>
      </c>
      <c r="B132" s="130" t="s">
        <v>147</v>
      </c>
      <c r="C132" s="131">
        <v>408</v>
      </c>
      <c r="D132" s="132" t="s">
        <v>24</v>
      </c>
      <c r="E132" s="31">
        <v>4154.6799999999994</v>
      </c>
      <c r="F132" s="229">
        <f t="shared" ref="F132" si="19">+E132*C132</f>
        <v>1695109.4399999997</v>
      </c>
      <c r="G132" s="495">
        <f>+'Presupuesto Base 1'!F130+'Presupuesto Equilibrio Economc'!F292-'Presupuesto Actual compl'!F132</f>
        <v>0</v>
      </c>
      <c r="H132" s="502">
        <f>+'Presupuesto actualizado'!F292+'Presupuesto actualizado'!F130</f>
        <v>1695109.4399999997</v>
      </c>
    </row>
    <row r="133" spans="1:10" x14ac:dyDescent="0.25">
      <c r="A133" s="259"/>
      <c r="B133" s="61"/>
      <c r="C133" s="66"/>
      <c r="D133" s="134"/>
      <c r="E133" s="24"/>
      <c r="F133" s="229"/>
      <c r="G133" s="495">
        <f>+'Presupuesto Base 1'!F131+'Presupuesto Equilibrio Economc'!F293-'Presupuesto Actual compl'!F133</f>
        <v>0</v>
      </c>
      <c r="H133" s="502">
        <f>+'Presupuesto actualizado'!F293+'Presupuesto actualizado'!F131</f>
        <v>0</v>
      </c>
    </row>
    <row r="134" spans="1:10" x14ac:dyDescent="0.25">
      <c r="A134" s="226">
        <v>12</v>
      </c>
      <c r="B134" s="135" t="s">
        <v>148</v>
      </c>
      <c r="C134" s="66"/>
      <c r="D134" s="134"/>
      <c r="E134" s="24"/>
      <c r="F134" s="229"/>
      <c r="G134" s="495">
        <f>+'Presupuesto Base 1'!F132+'Presupuesto Equilibrio Economc'!F294-'Presupuesto Actual compl'!F134</f>
        <v>0</v>
      </c>
      <c r="H134" s="502">
        <f>+'Presupuesto actualizado'!F294+'Presupuesto actualizado'!F132</f>
        <v>0</v>
      </c>
    </row>
    <row r="135" spans="1:10" ht="26.4" x14ac:dyDescent="0.25">
      <c r="A135" s="260">
        <v>12.1</v>
      </c>
      <c r="B135" s="216" t="s">
        <v>33</v>
      </c>
      <c r="C135" s="97">
        <v>13824</v>
      </c>
      <c r="D135" s="137" t="s">
        <v>40</v>
      </c>
      <c r="E135" s="32">
        <v>100</v>
      </c>
      <c r="F135" s="229">
        <f t="shared" ref="F135" si="20">+E135*C135</f>
        <v>1382400</v>
      </c>
      <c r="G135" s="495">
        <f>+'Presupuesto Base 1'!F133+'Presupuesto Equilibrio Economc'!F295-'Presupuesto Actual compl'!F135</f>
        <v>0</v>
      </c>
      <c r="H135" s="502">
        <f>+'Presupuesto actualizado'!F295+'Presupuesto actualizado'!F133</f>
        <v>1382400</v>
      </c>
    </row>
    <row r="136" spans="1:10" ht="39.6" x14ac:dyDescent="0.25">
      <c r="A136" s="260">
        <v>12.2</v>
      </c>
      <c r="B136" s="216" t="s">
        <v>149</v>
      </c>
      <c r="C136" s="97">
        <v>13824</v>
      </c>
      <c r="D136" s="137" t="s">
        <v>40</v>
      </c>
      <c r="E136" s="32">
        <v>100</v>
      </c>
      <c r="F136" s="229">
        <f>+E136*C136</f>
        <v>1382400</v>
      </c>
      <c r="G136" s="495">
        <f>+'Presupuesto Base 1'!F134+'Presupuesto Equilibrio Economc'!F296-'Presupuesto Actual compl'!F136</f>
        <v>0</v>
      </c>
      <c r="H136" s="502">
        <f>+'Presupuesto actualizado'!F296+'Presupuesto actualizado'!F134</f>
        <v>1382400</v>
      </c>
      <c r="I136" s="471">
        <f>+SUM(H135:H136)</f>
        <v>2764800</v>
      </c>
    </row>
    <row r="137" spans="1:10" x14ac:dyDescent="0.25">
      <c r="A137" s="261"/>
      <c r="B137" s="61"/>
      <c r="C137" s="134"/>
      <c r="D137" s="139"/>
      <c r="E137" s="24"/>
      <c r="F137" s="229"/>
      <c r="G137" s="495">
        <f>+'Presupuesto Base 1'!F135+'Presupuesto Equilibrio Economc'!F297-'Presupuesto Actual compl'!F137</f>
        <v>0</v>
      </c>
      <c r="H137" s="502">
        <f>+'Presupuesto actualizado'!F297+'Presupuesto actualizado'!F135</f>
        <v>0</v>
      </c>
    </row>
    <row r="138" spans="1:10" x14ac:dyDescent="0.25">
      <c r="A138" s="226">
        <v>13</v>
      </c>
      <c r="B138" s="140" t="s">
        <v>150</v>
      </c>
      <c r="C138" s="141"/>
      <c r="D138" s="85"/>
      <c r="E138" s="24"/>
      <c r="F138" s="229"/>
      <c r="G138" s="495">
        <f>+'Presupuesto Base 1'!F136+'Presupuesto Equilibrio Economc'!F298-'Presupuesto Actual compl'!F138</f>
        <v>0</v>
      </c>
      <c r="H138" s="502">
        <f>+'Presupuesto actualizado'!F298+'Presupuesto actualizado'!F136</f>
        <v>0</v>
      </c>
    </row>
    <row r="139" spans="1:10" ht="15.6" x14ac:dyDescent="0.25">
      <c r="A139" s="255">
        <v>13.1</v>
      </c>
      <c r="B139" s="72" t="s">
        <v>151</v>
      </c>
      <c r="C139" s="142">
        <v>10368</v>
      </c>
      <c r="D139" s="143" t="s">
        <v>152</v>
      </c>
      <c r="E139" s="24">
        <f>+'Analisis de costos actualizados'!G337</f>
        <v>158.05791452991457</v>
      </c>
      <c r="F139" s="229">
        <f>+C139*E139</f>
        <v>1638744.4578461542</v>
      </c>
      <c r="G139" s="495">
        <f>+'Presupuesto Base 1'!F137+'Presupuesto Equilibrio Economc'!F299-'Presupuesto Actual compl'!F139</f>
        <v>2.1538462024182081E-3</v>
      </c>
      <c r="H139" s="502">
        <f>+'Presupuesto actualizado'!F299+'Presupuesto actualizado'!F137</f>
        <v>1638744.4578461542</v>
      </c>
    </row>
    <row r="140" spans="1:10" ht="15.6" x14ac:dyDescent="0.25">
      <c r="A140" s="255">
        <v>13.2</v>
      </c>
      <c r="B140" s="72" t="s">
        <v>153</v>
      </c>
      <c r="C140" s="144">
        <v>10368</v>
      </c>
      <c r="D140" s="145" t="s">
        <v>152</v>
      </c>
      <c r="E140" s="32">
        <f>+'Analisis de costos actualizados'!H356</f>
        <v>831.14193548387107</v>
      </c>
      <c r="F140" s="229">
        <f t="shared" ref="F140:F143" si="21">+C140*E140</f>
        <v>8617279.587096775</v>
      </c>
      <c r="G140" s="495">
        <f>+'Presupuesto Base 1'!F138+'Presupuesto Equilibrio Economc'!F300-'Presupuesto Actual compl'!F140</f>
        <v>-4.0322579443454742E-3</v>
      </c>
      <c r="H140" s="502">
        <f>+'Presupuesto actualizado'!F300+'Presupuesto actualizado'!F138</f>
        <v>8617279.587096775</v>
      </c>
      <c r="I140" s="504"/>
      <c r="J140" s="471"/>
    </row>
    <row r="141" spans="1:10" ht="13.8" x14ac:dyDescent="0.25">
      <c r="A141" s="255">
        <v>13.3</v>
      </c>
      <c r="B141" s="72" t="s">
        <v>154</v>
      </c>
      <c r="C141" s="62">
        <v>25920</v>
      </c>
      <c r="D141" s="146" t="s">
        <v>155</v>
      </c>
      <c r="E141" s="24">
        <f>+'Analisis de costos actualizados'!H364</f>
        <v>50</v>
      </c>
      <c r="F141" s="229">
        <f t="shared" si="21"/>
        <v>1296000</v>
      </c>
      <c r="G141" s="495">
        <f>+'Presupuesto Base 1'!F139+'Presupuesto Equilibrio Economc'!F301-'Presupuesto Actual compl'!F141</f>
        <v>0</v>
      </c>
      <c r="H141" s="502">
        <f>+'Presupuesto actualizado'!F301+'Presupuesto actualizado'!F139</f>
        <v>1296000</v>
      </c>
      <c r="I141" s="471">
        <f>+SUM(H139:H141)</f>
        <v>11552024.044942928</v>
      </c>
    </row>
    <row r="142" spans="1:10" x14ac:dyDescent="0.25">
      <c r="A142" s="255"/>
      <c r="B142" s="103"/>
      <c r="C142" s="62"/>
      <c r="D142" s="146"/>
      <c r="E142" s="24"/>
      <c r="F142" s="229"/>
      <c r="G142" s="495">
        <f>+'Presupuesto Base 1'!F140+'Presupuesto Equilibrio Economc'!F302-'Presupuesto Actual compl'!F142</f>
        <v>0</v>
      </c>
      <c r="H142" s="502">
        <f>+'Presupuesto actualizado'!F302+'Presupuesto actualizado'!F140</f>
        <v>0</v>
      </c>
    </row>
    <row r="143" spans="1:10" x14ac:dyDescent="0.25">
      <c r="A143" s="255">
        <v>14</v>
      </c>
      <c r="B143" s="72" t="s">
        <v>156</v>
      </c>
      <c r="C143" s="66">
        <v>13824</v>
      </c>
      <c r="D143" s="134" t="s">
        <v>40</v>
      </c>
      <c r="E143" s="24">
        <f>7.2310503+35.2599997</f>
        <v>42.491050000000001</v>
      </c>
      <c r="F143" s="229">
        <f t="shared" si="21"/>
        <v>587396.27520000003</v>
      </c>
      <c r="G143" s="495">
        <f>+'Presupuesto Base 1'!F141+'Presupuesto Equilibrio Economc'!F303-'Presupuesto Actual compl'!F143</f>
        <v>-2.0000000949949026E-4</v>
      </c>
      <c r="H143" s="502">
        <f>+'Presupuesto actualizado'!F303+'Presupuesto actualizado'!F141</f>
        <v>587396.27520000003</v>
      </c>
    </row>
    <row r="144" spans="1:10" x14ac:dyDescent="0.25">
      <c r="A144" s="262"/>
      <c r="B144" s="148" t="s">
        <v>157</v>
      </c>
      <c r="C144" s="149"/>
      <c r="D144" s="150"/>
      <c r="E144" s="34"/>
      <c r="F144" s="263">
        <f>SUM(F43:F143)</f>
        <v>74804871.978185713</v>
      </c>
      <c r="G144" s="495">
        <f>+'Presupuesto Base 1'!F142+'Presupuesto Equilibrio Economc'!F304-'Presupuesto Actual compl'!F144</f>
        <v>-3.537982702255249E-3</v>
      </c>
      <c r="H144" s="502">
        <f>+'Presupuesto actualizado'!F304+'Presupuesto actualizado'!F142</f>
        <v>74804871.978048846</v>
      </c>
    </row>
    <row r="145" spans="1:8" x14ac:dyDescent="0.25">
      <c r="A145" s="264"/>
      <c r="B145" s="58"/>
      <c r="C145" s="59"/>
      <c r="D145" s="60"/>
      <c r="E145" s="33"/>
      <c r="F145" s="229"/>
      <c r="G145" s="495">
        <f>+'Presupuesto Base 1'!F143+'Presupuesto Equilibrio Economc'!F305-'Presupuesto Actual compl'!F145</f>
        <v>0</v>
      </c>
      <c r="H145" s="502">
        <f>+'Presupuesto actualizado'!F305+'Presupuesto actualizado'!F143</f>
        <v>0</v>
      </c>
    </row>
    <row r="146" spans="1:8" x14ac:dyDescent="0.25">
      <c r="A146" s="265" t="s">
        <v>158</v>
      </c>
      <c r="B146" s="153" t="s">
        <v>159</v>
      </c>
      <c r="C146" s="154"/>
      <c r="D146" s="155"/>
      <c r="E146" s="35"/>
      <c r="F146" s="229"/>
      <c r="G146" s="495">
        <f>+'Presupuesto Base 1'!F144+'Presupuesto Equilibrio Economc'!F306-'Presupuesto Actual compl'!F146</f>
        <v>0</v>
      </c>
      <c r="H146" s="502">
        <f>+'Presupuesto actualizado'!F306+'Presupuesto actualizado'!F144</f>
        <v>0</v>
      </c>
    </row>
    <row r="147" spans="1:8" x14ac:dyDescent="0.25">
      <c r="A147" s="266"/>
      <c r="B147" s="157"/>
      <c r="C147" s="158"/>
      <c r="D147" s="159"/>
      <c r="E147" s="1"/>
      <c r="F147" s="229"/>
      <c r="G147" s="495">
        <f>+'Presupuesto Base 1'!F145+'Presupuesto Equilibrio Economc'!F307-'Presupuesto Actual compl'!F147</f>
        <v>0</v>
      </c>
      <c r="H147" s="502">
        <f>+'Presupuesto actualizado'!F307+'Presupuesto actualizado'!F145</f>
        <v>0</v>
      </c>
    </row>
    <row r="148" spans="1:8" x14ac:dyDescent="0.25">
      <c r="A148" s="266">
        <v>1</v>
      </c>
      <c r="B148" s="157" t="s">
        <v>160</v>
      </c>
      <c r="C148" s="158"/>
      <c r="D148" s="159"/>
      <c r="E148" s="1"/>
      <c r="F148" s="229"/>
      <c r="G148" s="495">
        <f>+'Presupuesto Base 1'!F146+'Presupuesto Equilibrio Economc'!F308-'Presupuesto Actual compl'!F148</f>
        <v>0</v>
      </c>
      <c r="H148" s="502">
        <f>+'Presupuesto actualizado'!F308+'Presupuesto actualizado'!F146</f>
        <v>0</v>
      </c>
    </row>
    <row r="149" spans="1:8" x14ac:dyDescent="0.25">
      <c r="A149" s="267">
        <v>1.1000000000000001</v>
      </c>
      <c r="B149" s="157" t="s">
        <v>161</v>
      </c>
      <c r="C149" s="158"/>
      <c r="D149" s="159"/>
      <c r="E149" s="1"/>
      <c r="F149" s="229"/>
      <c r="G149" s="495">
        <f>+'Presupuesto Base 1'!F147+'Presupuesto Equilibrio Economc'!F309-'Presupuesto Actual compl'!F149</f>
        <v>0</v>
      </c>
      <c r="H149" s="502">
        <f>+'Presupuesto actualizado'!F309+'Presupuesto actualizado'!F147</f>
        <v>0</v>
      </c>
    </row>
    <row r="150" spans="1:8" x14ac:dyDescent="0.25">
      <c r="A150" s="268" t="s">
        <v>162</v>
      </c>
      <c r="B150" s="61" t="s">
        <v>163</v>
      </c>
      <c r="C150" s="62">
        <v>29.3</v>
      </c>
      <c r="D150" s="57" t="s">
        <v>164</v>
      </c>
      <c r="E150" s="1">
        <v>1250</v>
      </c>
      <c r="F150" s="229">
        <f t="shared" ref="F150:F151" si="22">+E150*C150</f>
        <v>36625</v>
      </c>
      <c r="G150" s="495">
        <f>+'Presupuesto Base 1'!F148+'Presupuesto Equilibrio Economc'!F310-'Presupuesto Actual compl'!F150</f>
        <v>0</v>
      </c>
      <c r="H150" s="502">
        <f>+'Presupuesto actualizado'!F310+'Presupuesto actualizado'!F148</f>
        <v>36625</v>
      </c>
    </row>
    <row r="151" spans="1:8" ht="26.4" x14ac:dyDescent="0.25">
      <c r="A151" s="268" t="s">
        <v>165</v>
      </c>
      <c r="B151" s="72" t="s">
        <v>166</v>
      </c>
      <c r="C151" s="62">
        <v>38.090000000000003</v>
      </c>
      <c r="D151" s="57" t="s">
        <v>164</v>
      </c>
      <c r="E151" s="1">
        <v>1250</v>
      </c>
      <c r="F151" s="229">
        <f t="shared" si="22"/>
        <v>47612.500000000007</v>
      </c>
      <c r="G151" s="495">
        <f>+'Presupuesto Base 1'!F149+'Presupuesto Equilibrio Economc'!F311-'Presupuesto Actual compl'!F151</f>
        <v>0</v>
      </c>
      <c r="H151" s="502">
        <f>+'Presupuesto actualizado'!F311+'Presupuesto actualizado'!F149</f>
        <v>47612.500000000007</v>
      </c>
    </row>
    <row r="152" spans="1:8" x14ac:dyDescent="0.25">
      <c r="A152" s="266"/>
      <c r="B152" s="157"/>
      <c r="C152" s="158"/>
      <c r="D152" s="159"/>
      <c r="E152" s="1"/>
      <c r="F152" s="229"/>
      <c r="G152" s="495">
        <f>+'Presupuesto Base 1'!F150+'Presupuesto Equilibrio Economc'!F312-'Presupuesto Actual compl'!F152</f>
        <v>0</v>
      </c>
      <c r="H152" s="502">
        <f>+'Presupuesto actualizado'!F312+'Presupuesto actualizado'!F150</f>
        <v>0</v>
      </c>
    </row>
    <row r="153" spans="1:8" x14ac:dyDescent="0.25">
      <c r="A153" s="267">
        <v>1.2</v>
      </c>
      <c r="B153" s="63" t="s">
        <v>167</v>
      </c>
      <c r="C153" s="62"/>
      <c r="D153" s="57"/>
      <c r="E153" s="1"/>
      <c r="F153" s="229"/>
      <c r="G153" s="495">
        <f>+'Presupuesto Base 1'!F151+'Presupuesto Equilibrio Economc'!F313-'Presupuesto Actual compl'!F153</f>
        <v>0</v>
      </c>
      <c r="H153" s="502">
        <f>+'Presupuesto actualizado'!F313+'Presupuesto actualizado'!F151</f>
        <v>0</v>
      </c>
    </row>
    <row r="154" spans="1:8" x14ac:dyDescent="0.25">
      <c r="A154" s="268" t="s">
        <v>168</v>
      </c>
      <c r="B154" s="61" t="s">
        <v>169</v>
      </c>
      <c r="C154" s="62">
        <v>244.2</v>
      </c>
      <c r="D154" s="57" t="s">
        <v>40</v>
      </c>
      <c r="E154" s="1">
        <f>+'Analisis de costos actualizados'!H380</f>
        <v>1830.9298245614034</v>
      </c>
      <c r="F154" s="229">
        <f t="shared" ref="F154:F155" si="23">+E154*C154</f>
        <v>447113.06315789471</v>
      </c>
      <c r="G154" s="495">
        <f>+'Presupuesto Base 1'!F152+'Presupuesto Equilibrio Economc'!F314-'Presupuesto Actual compl'!F154</f>
        <v>0</v>
      </c>
      <c r="H154" s="502">
        <f>+'Presupuesto actualizado'!F314+'Presupuesto actualizado'!F152</f>
        <v>447113.06315789471</v>
      </c>
    </row>
    <row r="155" spans="1:8" x14ac:dyDescent="0.25">
      <c r="A155" s="268" t="s">
        <v>170</v>
      </c>
      <c r="B155" s="162" t="s">
        <v>171</v>
      </c>
      <c r="C155" s="62">
        <v>195.36</v>
      </c>
      <c r="D155" s="57" t="s">
        <v>172</v>
      </c>
      <c r="E155" s="1">
        <f>+'Analisis de costos actualizados'!H368</f>
        <v>971.8660000000001</v>
      </c>
      <c r="F155" s="229">
        <f t="shared" si="23"/>
        <v>189863.74176000003</v>
      </c>
      <c r="G155" s="495">
        <f>+'Presupuesto Base 1'!F153+'Presupuesto Equilibrio Economc'!F315-'Presupuesto Actual compl'!F155</f>
        <v>0</v>
      </c>
      <c r="H155" s="502">
        <f>+'Presupuesto actualizado'!F315+'Presupuesto actualizado'!F153</f>
        <v>189863.74176000003</v>
      </c>
    </row>
    <row r="156" spans="1:8" x14ac:dyDescent="0.25">
      <c r="A156" s="262"/>
      <c r="B156" s="148" t="s">
        <v>173</v>
      </c>
      <c r="C156" s="149"/>
      <c r="D156" s="150"/>
      <c r="E156" s="34"/>
      <c r="F156" s="263">
        <f>SUM(F146:F155)</f>
        <v>721214.30491789465</v>
      </c>
      <c r="G156" s="495">
        <f>+'Presupuesto Base 1'!F154+'Presupuesto Equilibrio Economc'!F316-'Presupuesto Actual compl'!F156</f>
        <v>0</v>
      </c>
      <c r="H156" s="502">
        <f>+'Presupuesto actualizado'!F316+'Presupuesto actualizado'!F154</f>
        <v>721214.30491789477</v>
      </c>
    </row>
    <row r="157" spans="1:8" x14ac:dyDescent="0.25">
      <c r="A157" s="235"/>
      <c r="B157" s="163"/>
      <c r="C157" s="100"/>
      <c r="D157" s="81"/>
      <c r="E157" s="27"/>
      <c r="F157" s="229"/>
      <c r="G157" s="495">
        <f>+'Presupuesto Base 1'!F155+'Presupuesto Equilibrio Economc'!F317-'Presupuesto Actual compl'!F157</f>
        <v>0</v>
      </c>
      <c r="H157" s="502">
        <f>+'Presupuesto actualizado'!F317+'Presupuesto actualizado'!F155</f>
        <v>0</v>
      </c>
    </row>
    <row r="158" spans="1:8" x14ac:dyDescent="0.25">
      <c r="A158" s="264" t="s">
        <v>174</v>
      </c>
      <c r="B158" s="58" t="s">
        <v>175</v>
      </c>
      <c r="C158" s="141"/>
      <c r="D158" s="81"/>
      <c r="E158" s="1"/>
      <c r="F158" s="229"/>
      <c r="G158" s="495">
        <f>+'Presupuesto Base 1'!F156+'Presupuesto Equilibrio Economc'!F318-'Presupuesto Actual compl'!F158</f>
        <v>0</v>
      </c>
      <c r="H158" s="502">
        <f>+'Presupuesto actualizado'!F318+'Presupuesto actualizado'!F156</f>
        <v>0</v>
      </c>
    </row>
    <row r="159" spans="1:8" ht="52.8" x14ac:dyDescent="0.25">
      <c r="A159" s="255">
        <v>1</v>
      </c>
      <c r="B159" s="93" t="s">
        <v>176</v>
      </c>
      <c r="C159" s="100">
        <v>1</v>
      </c>
      <c r="D159" s="81" t="s">
        <v>24</v>
      </c>
      <c r="E159" s="1">
        <v>57000</v>
      </c>
      <c r="F159" s="229">
        <f t="shared" ref="F159:F160" si="24">+E159*C159</f>
        <v>57000</v>
      </c>
      <c r="G159" s="495">
        <f>+'Presupuesto Base 1'!F157+'Presupuesto Equilibrio Economc'!F319-'Presupuesto Actual compl'!F159</f>
        <v>0</v>
      </c>
      <c r="H159" s="502">
        <f>+'Presupuesto actualizado'!F319+'Presupuesto actualizado'!F157</f>
        <v>57000</v>
      </c>
    </row>
    <row r="160" spans="1:8" ht="26.4" x14ac:dyDescent="0.25">
      <c r="A160" s="255">
        <v>2</v>
      </c>
      <c r="B160" s="164" t="s">
        <v>177</v>
      </c>
      <c r="C160" s="100">
        <v>10</v>
      </c>
      <c r="D160" s="81" t="s">
        <v>178</v>
      </c>
      <c r="E160" s="1">
        <v>22500</v>
      </c>
      <c r="F160" s="229">
        <f t="shared" si="24"/>
        <v>225000</v>
      </c>
      <c r="G160" s="495">
        <f>+'Presupuesto Base 1'!F158+'Presupuesto Equilibrio Economc'!F320-'Presupuesto Actual compl'!F160</f>
        <v>0</v>
      </c>
      <c r="H160" s="502">
        <f>+'Presupuesto actualizado'!F320+'Presupuesto actualizado'!F158</f>
        <v>225000</v>
      </c>
    </row>
    <row r="161" spans="1:8" x14ac:dyDescent="0.25">
      <c r="A161" s="269"/>
      <c r="B161" s="166" t="s">
        <v>179</v>
      </c>
      <c r="C161" s="167"/>
      <c r="D161" s="150"/>
      <c r="E161" s="38"/>
      <c r="F161" s="270">
        <f>SUM(F158:F160)</f>
        <v>282000</v>
      </c>
      <c r="G161" s="495">
        <f>+'Presupuesto Base 1'!F159+'Presupuesto Equilibrio Economc'!F321-'Presupuesto Actual compl'!F161</f>
        <v>0</v>
      </c>
      <c r="H161" s="502">
        <f>+'Presupuesto actualizado'!F321+'Presupuesto actualizado'!F159</f>
        <v>282000</v>
      </c>
    </row>
    <row r="162" spans="1:8" x14ac:dyDescent="0.25">
      <c r="A162" s="235"/>
      <c r="B162" s="163"/>
      <c r="C162" s="100"/>
      <c r="D162" s="81"/>
      <c r="E162" s="27"/>
      <c r="F162" s="271"/>
      <c r="G162" s="495">
        <f>+'Presupuesto Base 1'!F160+'Presupuesto Equilibrio Economc'!F322-'Presupuesto Actual compl'!F162</f>
        <v>0</v>
      </c>
      <c r="H162" s="502">
        <f>+'Presupuesto actualizado'!F322+'Presupuesto actualizado'!F160</f>
        <v>0</v>
      </c>
    </row>
    <row r="163" spans="1:8" ht="13.8" thickBot="1" x14ac:dyDescent="0.3">
      <c r="A163" s="274"/>
      <c r="B163" s="275" t="s">
        <v>180</v>
      </c>
      <c r="C163" s="276"/>
      <c r="D163" s="277"/>
      <c r="E163" s="278"/>
      <c r="F163" s="279">
        <f>F41+F144+F156+F161</f>
        <v>76081199.061436951</v>
      </c>
      <c r="G163" s="495">
        <f>+'Presupuesto Base 1'!F161+'Presupuesto Equilibrio Economc'!F323-'Presupuesto Actual compl'!F163</f>
        <v>-4.5147240161895752E-3</v>
      </c>
      <c r="H163" s="502">
        <f>+'Presupuesto actualizado'!F323+'Presupuesto actualizado'!F161</f>
        <v>76081199.060000002</v>
      </c>
    </row>
    <row r="164" spans="1:8" ht="13.8" thickBot="1" x14ac:dyDescent="0.3">
      <c r="A164" s="274"/>
      <c r="B164" s="275" t="s">
        <v>181</v>
      </c>
      <c r="C164" s="276"/>
      <c r="D164" s="277"/>
      <c r="E164" s="278"/>
      <c r="F164" s="279">
        <f>SUM(F163)</f>
        <v>76081199.061436951</v>
      </c>
      <c r="G164" s="495">
        <f>+'Presupuesto Base 1'!F162+'Presupuesto Equilibrio Economc'!F324-'Presupuesto Actual compl'!F164</f>
        <v>-4.5147240161895752E-3</v>
      </c>
      <c r="H164" s="502">
        <f>+'Presupuesto actualizado'!F324+'Presupuesto actualizado'!F162</f>
        <v>76081199.060000002</v>
      </c>
    </row>
    <row r="165" spans="1:8" x14ac:dyDescent="0.25">
      <c r="A165" s="288"/>
      <c r="B165" s="289"/>
      <c r="C165" s="290"/>
      <c r="D165" s="291"/>
      <c r="E165" s="292"/>
      <c r="F165" s="293"/>
      <c r="G165" s="495">
        <f>+'Presupuesto Base 1'!F163+'Presupuesto Equilibrio Economc'!F325-'Presupuesto Actual compl'!F165</f>
        <v>62657908.719999999</v>
      </c>
    </row>
    <row r="166" spans="1:8" x14ac:dyDescent="0.25">
      <c r="A166" s="294"/>
      <c r="B166" s="116" t="s">
        <v>182</v>
      </c>
      <c r="C166" s="171"/>
      <c r="D166" s="162"/>
      <c r="E166" s="37"/>
      <c r="F166" s="295"/>
      <c r="G166" s="495">
        <f>+'Presupuesto Base 1'!F164+'Presupuesto Equilibrio Economc'!F326-'Presupuesto Actual compl'!F166</f>
        <v>0</v>
      </c>
    </row>
    <row r="167" spans="1:8" x14ac:dyDescent="0.25">
      <c r="A167" s="294"/>
      <c r="B167" s="172" t="s">
        <v>183</v>
      </c>
      <c r="C167" s="173">
        <v>0.03</v>
      </c>
      <c r="D167" s="162"/>
      <c r="E167" s="37"/>
      <c r="F167" s="296">
        <f>C167*F164</f>
        <v>2282435.9718431085</v>
      </c>
      <c r="G167" s="296">
        <f t="shared" ref="G167" si="25">D167*G164</f>
        <v>0</v>
      </c>
      <c r="H167" s="503">
        <f>C167*$H$164</f>
        <v>2282435.9717999999</v>
      </c>
    </row>
    <row r="168" spans="1:8" x14ac:dyDescent="0.25">
      <c r="A168" s="294"/>
      <c r="B168" s="172" t="s">
        <v>184</v>
      </c>
      <c r="C168" s="173">
        <v>0.1</v>
      </c>
      <c r="D168" s="162"/>
      <c r="E168" s="37"/>
      <c r="F168" s="296">
        <f>F164*C168</f>
        <v>7608119.9061436951</v>
      </c>
      <c r="G168" s="495">
        <f>+'Presupuesto Base 1'!F166+'Presupuesto Equilibrio Economc'!F328-'Presupuesto Actual compl'!F168</f>
        <v>-4386053.6108514722</v>
      </c>
      <c r="H168" s="503">
        <f t="shared" ref="H168:H178" si="26">C168*$H$164</f>
        <v>7608119.9060000004</v>
      </c>
    </row>
    <row r="169" spans="1:8" x14ac:dyDescent="0.25">
      <c r="A169" s="294"/>
      <c r="B169" s="172" t="s">
        <v>185</v>
      </c>
      <c r="C169" s="173">
        <v>0.04</v>
      </c>
      <c r="D169" s="162"/>
      <c r="E169" s="37"/>
      <c r="F169" s="296">
        <f>F164*C169</f>
        <v>3043247.962457478</v>
      </c>
      <c r="G169" s="495">
        <f>+'Presupuesto Base 1'!F167+'Presupuesto Equilibrio Economc'!F329-'Presupuesto Actual compl'!F169</f>
        <v>3759474.5230194116</v>
      </c>
      <c r="H169" s="503">
        <f t="shared" si="26"/>
        <v>3043247.9624000001</v>
      </c>
    </row>
    <row r="170" spans="1:8" x14ac:dyDescent="0.25">
      <c r="A170" s="294"/>
      <c r="B170" s="172" t="s">
        <v>186</v>
      </c>
      <c r="C170" s="173">
        <v>0.05</v>
      </c>
      <c r="D170" s="162"/>
      <c r="E170" s="37"/>
      <c r="F170" s="296">
        <f>F164*C170</f>
        <v>3804059.9530718476</v>
      </c>
      <c r="G170" s="495">
        <f>+'Presupuesto Base 1'!F168+'Presupuesto Equilibrio Economc'!F330-'Presupuesto Actual compl'!F170</f>
        <v>-626579.08742573624</v>
      </c>
      <c r="H170" s="503">
        <f t="shared" si="26"/>
        <v>3804059.9530000002</v>
      </c>
    </row>
    <row r="171" spans="1:8" x14ac:dyDescent="0.25">
      <c r="A171" s="294"/>
      <c r="B171" s="172" t="s">
        <v>187</v>
      </c>
      <c r="C171" s="173">
        <v>0.03</v>
      </c>
      <c r="D171" s="162"/>
      <c r="E171" s="37"/>
      <c r="F171" s="296">
        <f>F164*C171</f>
        <v>2282435.9718431085</v>
      </c>
      <c r="G171" s="495">
        <f>+'Presupuesto Base 1'!F169+'Presupuesto Equilibrio Economc'!F331-'Presupuesto Actual compl'!F171</f>
        <v>1253158.1742645586</v>
      </c>
      <c r="H171" s="503">
        <f t="shared" si="26"/>
        <v>2282435.9717999999</v>
      </c>
    </row>
    <row r="172" spans="1:8" x14ac:dyDescent="0.25">
      <c r="A172" s="294"/>
      <c r="B172" s="172" t="s">
        <v>188</v>
      </c>
      <c r="C172" s="173">
        <v>0.01</v>
      </c>
      <c r="D172" s="162"/>
      <c r="E172" s="37"/>
      <c r="F172" s="296">
        <f>F164*C172</f>
        <v>760811.99061436951</v>
      </c>
      <c r="G172" s="495">
        <f>+'Presupuesto Base 1'!F170+'Presupuesto Equilibrio Economc'!F332-'Presupuesto Actual compl'!F172</f>
        <v>1253158.1743548526</v>
      </c>
      <c r="H172" s="503">
        <f t="shared" si="26"/>
        <v>760811.99060000002</v>
      </c>
    </row>
    <row r="173" spans="1:8" x14ac:dyDescent="0.25">
      <c r="A173" s="297"/>
      <c r="B173" s="172" t="s">
        <v>189</v>
      </c>
      <c r="C173" s="173">
        <v>1E-3</v>
      </c>
      <c r="D173" s="162"/>
      <c r="E173" s="37"/>
      <c r="F173" s="296">
        <f>F164*C173</f>
        <v>76081.199061436957</v>
      </c>
      <c r="G173" s="495">
        <f>+'Presupuesto Base 1'!F171+'Presupuesto Equilibrio Economc'!F333-'Presupuesto Actual compl'!F173</f>
        <v>563921.1784754853</v>
      </c>
      <c r="H173" s="503">
        <f t="shared" si="26"/>
        <v>76081.199059999999</v>
      </c>
    </row>
    <row r="174" spans="1:8" x14ac:dyDescent="0.25">
      <c r="A174" s="297"/>
      <c r="B174" s="174" t="s">
        <v>190</v>
      </c>
      <c r="C174" s="175">
        <v>0.18</v>
      </c>
      <c r="D174" s="162"/>
      <c r="E174" s="37"/>
      <c r="F174" s="296">
        <f>F168*C174</f>
        <v>1369461.5831058652</v>
      </c>
      <c r="G174" s="495">
        <f>+'Presupuesto Base 1'!F172+'Presupuesto Equilibrio Economc'!F334-'Presupuesto Actual compl'!F174</f>
        <v>-1065184.4483212652</v>
      </c>
      <c r="H174" s="503">
        <f>C174*$H$168</f>
        <v>1369461.58308</v>
      </c>
    </row>
    <row r="175" spans="1:8" x14ac:dyDescent="0.25">
      <c r="A175" s="297"/>
      <c r="B175" s="172" t="s">
        <v>191</v>
      </c>
      <c r="C175" s="173">
        <v>0.1</v>
      </c>
      <c r="D175" s="162"/>
      <c r="E175" s="37"/>
      <c r="F175" s="296">
        <f>F164*C175</f>
        <v>7608119.9061436951</v>
      </c>
      <c r="G175" s="495">
        <f>+'Presupuesto Base 1'!F173+'Presupuesto Equilibrio Economc'!F335-'Presupuesto Actual compl'!F175</f>
        <v>-5137948.5154914726</v>
      </c>
      <c r="H175" s="503">
        <f t="shared" si="26"/>
        <v>7608119.9060000004</v>
      </c>
    </row>
    <row r="176" spans="1:8" ht="26.4" x14ac:dyDescent="0.25">
      <c r="A176" s="297"/>
      <c r="B176" s="176" t="s">
        <v>192</v>
      </c>
      <c r="C176" s="177">
        <v>0.03</v>
      </c>
      <c r="D176" s="162"/>
      <c r="E176" s="37"/>
      <c r="F176" s="296">
        <f>F164*C176</f>
        <v>2282435.9718431085</v>
      </c>
      <c r="G176" s="495">
        <f>+'Presupuesto Base 1'!F174+'Presupuesto Equilibrio Economc'!F336-'Presupuesto Actual compl'!F176</f>
        <v>4386053.6102645583</v>
      </c>
      <c r="H176" s="503">
        <f t="shared" si="26"/>
        <v>2282435.9717999999</v>
      </c>
    </row>
    <row r="177" spans="1:8" x14ac:dyDescent="0.25">
      <c r="A177" s="297"/>
      <c r="B177" s="176" t="s">
        <v>193</v>
      </c>
      <c r="C177" s="177">
        <v>1.4999999999999999E-2</v>
      </c>
      <c r="D177" s="162"/>
      <c r="E177" s="37"/>
      <c r="F177" s="296">
        <f>F164*C177</f>
        <v>1141217.9859215543</v>
      </c>
      <c r="G177" s="495">
        <f>+'Presupuesto Base 1'!F175+'Presupuesto Equilibrio Economc'!F337-'Presupuesto Actual compl'!F177</f>
        <v>939868.63073227904</v>
      </c>
      <c r="H177" s="503">
        <f t="shared" si="26"/>
        <v>1141217.9859</v>
      </c>
    </row>
    <row r="178" spans="1:8" x14ac:dyDescent="0.25">
      <c r="A178" s="297"/>
      <c r="B178" s="172" t="s">
        <v>194</v>
      </c>
      <c r="C178" s="173">
        <v>0.05</v>
      </c>
      <c r="D178" s="60"/>
      <c r="E178" s="42"/>
      <c r="F178" s="296">
        <f>F164*C178</f>
        <v>3804059.9530718476</v>
      </c>
      <c r="G178" s="495">
        <f>+'Presupuesto Base 1'!F176+'Presupuesto Equilibrio Economc'!F338-'Presupuesto Actual compl'!F178</f>
        <v>-2193026.8054257361</v>
      </c>
      <c r="H178" s="503">
        <f t="shared" si="26"/>
        <v>3804059.9530000002</v>
      </c>
    </row>
    <row r="179" spans="1:8" x14ac:dyDescent="0.25">
      <c r="A179" s="298"/>
      <c r="B179" s="138" t="s">
        <v>195</v>
      </c>
      <c r="C179" s="158"/>
      <c r="D179" s="159"/>
      <c r="E179" s="36"/>
      <c r="F179" s="299">
        <f>SUM(F167:F178)</f>
        <v>36062488.355121121</v>
      </c>
      <c r="G179" s="495">
        <f>+'Presupuesto Base 1'!F177+'Presupuesto Equilibrio Economc'!F339-'Presupuesto Actual compl'!F179</f>
        <v>-26566953.299419984</v>
      </c>
      <c r="H179" s="502">
        <f>SUM(H167:H178)</f>
        <v>36062488.354440004</v>
      </c>
    </row>
    <row r="180" spans="1:8" x14ac:dyDescent="0.25">
      <c r="A180" s="235"/>
      <c r="B180" s="104"/>
      <c r="C180" s="178"/>
      <c r="D180" s="179"/>
      <c r="E180" s="27"/>
      <c r="F180" s="300"/>
      <c r="G180" s="495">
        <f>+'Presupuesto Base 1'!F178+'Presupuesto Equilibrio Economc'!F340-'Presupuesto Actual compl'!F180</f>
        <v>29699848.733280003</v>
      </c>
    </row>
    <row r="181" spans="1:8" ht="13.8" thickBot="1" x14ac:dyDescent="0.3">
      <c r="A181" s="301"/>
      <c r="B181" s="302" t="s">
        <v>196</v>
      </c>
      <c r="C181" s="303"/>
      <c r="D181" s="304"/>
      <c r="E181" s="305"/>
      <c r="F181" s="279">
        <f>F164+F179</f>
        <v>112143687.41655807</v>
      </c>
      <c r="G181" s="495">
        <f>+'Presupuesto Base 1'!F179+'Presupuesto Equilibrio Economc'!F341-'Presupuesto Actual compl'!F181</f>
        <v>-92357757.459934711</v>
      </c>
      <c r="H181" s="502">
        <f>+H179+H164</f>
        <v>112143687.41444001</v>
      </c>
    </row>
    <row r="183" spans="1:8" x14ac:dyDescent="0.25">
      <c r="G183" s="473">
        <v>112143687.42</v>
      </c>
    </row>
  </sheetData>
  <mergeCells count="2">
    <mergeCell ref="A4:F4"/>
    <mergeCell ref="A6:F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CE3A-2022-4084-A02C-7125EF28CB20}">
  <sheetPr>
    <pageSetUpPr fitToPage="1"/>
  </sheetPr>
  <dimension ref="A1:J391"/>
  <sheetViews>
    <sheetView topLeftCell="C100" workbookViewId="0">
      <selection activeCell="D216" sqref="D216"/>
    </sheetView>
  </sheetViews>
  <sheetFormatPr baseColWidth="10" defaultColWidth="10.6640625" defaultRowHeight="13.2" x14ac:dyDescent="0.25"/>
  <cols>
    <col min="1" max="1" width="23" bestFit="1" customWidth="1"/>
    <col min="2" max="2" width="39.109375" bestFit="1" customWidth="1"/>
    <col min="3" max="3" width="13.77734375" bestFit="1" customWidth="1"/>
    <col min="4" max="4" width="13.5546875" customWidth="1"/>
    <col min="5" max="5" width="19.5546875" bestFit="1" customWidth="1"/>
    <col min="6" max="6" width="21.44140625" bestFit="1" customWidth="1"/>
    <col min="7" max="7" width="12.88671875" bestFit="1" customWidth="1"/>
    <col min="8" max="8" width="15.44140625" bestFit="1" customWidth="1"/>
    <col min="9" max="9" width="16.6640625" bestFit="1" customWidth="1"/>
  </cols>
  <sheetData>
    <row r="1" spans="1:8" x14ac:dyDescent="0.25">
      <c r="A1" t="s">
        <v>441</v>
      </c>
    </row>
    <row r="4" spans="1:8" x14ac:dyDescent="0.25">
      <c r="A4" s="313" t="s">
        <v>197</v>
      </c>
      <c r="B4" s="313"/>
    </row>
    <row r="5" spans="1:8" ht="27.6" x14ac:dyDescent="0.25">
      <c r="A5" s="314" t="s">
        <v>198</v>
      </c>
      <c r="B5" s="314" t="s">
        <v>199</v>
      </c>
      <c r="C5" s="314" t="s">
        <v>200</v>
      </c>
      <c r="D5" s="314" t="s">
        <v>201</v>
      </c>
      <c r="E5" s="314" t="s">
        <v>202</v>
      </c>
      <c r="F5" s="314" t="s">
        <v>203</v>
      </c>
      <c r="G5" s="314" t="s">
        <v>204</v>
      </c>
      <c r="H5" s="314" t="s">
        <v>205</v>
      </c>
    </row>
    <row r="6" spans="1:8" ht="13.8" x14ac:dyDescent="0.25">
      <c r="A6" s="315"/>
      <c r="B6" s="316">
        <v>1</v>
      </c>
      <c r="C6" s="317">
        <v>1</v>
      </c>
      <c r="D6" s="318" t="s">
        <v>16</v>
      </c>
      <c r="E6" s="319">
        <v>570</v>
      </c>
      <c r="F6" s="319"/>
      <c r="G6" s="319">
        <f>+E6+F6</f>
        <v>570</v>
      </c>
      <c r="H6" s="320">
        <f>C6*G6</f>
        <v>570</v>
      </c>
    </row>
    <row r="7" spans="1:8" ht="13.8" x14ac:dyDescent="0.25">
      <c r="A7" s="315"/>
      <c r="B7" s="316" t="s">
        <v>206</v>
      </c>
      <c r="C7" s="317">
        <v>1</v>
      </c>
      <c r="D7" s="318" t="s">
        <v>207</v>
      </c>
      <c r="E7" s="319">
        <v>235</v>
      </c>
      <c r="F7" s="319">
        <f>+E7*0.18</f>
        <v>42.3</v>
      </c>
      <c r="G7" s="319">
        <f>+E7+F7</f>
        <v>277.3</v>
      </c>
      <c r="H7" s="320">
        <f>(C7*G7)/3</f>
        <v>92.433333333333337</v>
      </c>
    </row>
    <row r="8" spans="1:8" ht="13.8" x14ac:dyDescent="0.25">
      <c r="A8" s="315"/>
      <c r="B8" s="316" t="s">
        <v>208</v>
      </c>
      <c r="C8" s="317">
        <v>1</v>
      </c>
      <c r="D8" s="318" t="s">
        <v>16</v>
      </c>
      <c r="E8" s="319">
        <f>Op_3era/8</f>
        <v>128.10874999999999</v>
      </c>
      <c r="F8" s="319"/>
      <c r="G8" s="319">
        <f>+E8+F8</f>
        <v>128.10874999999999</v>
      </c>
      <c r="H8" s="320">
        <f>C8*G8</f>
        <v>128.10874999999999</v>
      </c>
    </row>
    <row r="9" spans="1:8" ht="13.8" x14ac:dyDescent="0.25">
      <c r="A9" s="511" t="s">
        <v>209</v>
      </c>
      <c r="B9" s="511"/>
      <c r="C9" s="511"/>
      <c r="D9" s="511"/>
      <c r="E9" s="511"/>
      <c r="F9" s="321"/>
      <c r="G9" s="322"/>
      <c r="H9" s="323">
        <f>SUM(H6:H8)</f>
        <v>790.54208333333338</v>
      </c>
    </row>
    <row r="10" spans="1:8" ht="17.399999999999999" x14ac:dyDescent="0.3">
      <c r="A10" s="324"/>
      <c r="B10" s="324"/>
      <c r="C10" s="324"/>
      <c r="D10" s="324"/>
      <c r="E10" s="324"/>
      <c r="F10" s="324"/>
      <c r="G10" s="325" t="s">
        <v>210</v>
      </c>
      <c r="H10" s="325">
        <f>+H9</f>
        <v>790.54208333333338</v>
      </c>
    </row>
    <row r="13" spans="1:8" x14ac:dyDescent="0.25">
      <c r="A13" s="313" t="s">
        <v>211</v>
      </c>
    </row>
    <row r="14" spans="1:8" ht="27.6" x14ac:dyDescent="0.25">
      <c r="A14" s="314" t="s">
        <v>198</v>
      </c>
      <c r="B14" s="314" t="s">
        <v>199</v>
      </c>
      <c r="C14" s="314" t="s">
        <v>200</v>
      </c>
      <c r="D14" s="314" t="s">
        <v>201</v>
      </c>
      <c r="E14" s="314" t="s">
        <v>202</v>
      </c>
      <c r="F14" s="314" t="s">
        <v>203</v>
      </c>
      <c r="G14" s="314" t="s">
        <v>204</v>
      </c>
      <c r="H14" s="314" t="s">
        <v>205</v>
      </c>
    </row>
    <row r="15" spans="1:8" ht="13.8" x14ac:dyDescent="0.25">
      <c r="B15" s="316">
        <v>1</v>
      </c>
      <c r="C15" s="317">
        <v>1</v>
      </c>
      <c r="D15" s="318" t="s">
        <v>16</v>
      </c>
      <c r="E15" s="319">
        <v>2100</v>
      </c>
      <c r="F15" s="319"/>
      <c r="G15" s="319">
        <f>+E15+F15</f>
        <v>2100</v>
      </c>
      <c r="H15" s="320">
        <f>C15*G15</f>
        <v>2100</v>
      </c>
    </row>
    <row r="17" spans="1:8" x14ac:dyDescent="0.25">
      <c r="A17" s="313" t="s">
        <v>212</v>
      </c>
    </row>
    <row r="18" spans="1:8" ht="27.6" x14ac:dyDescent="0.25">
      <c r="A18" s="314" t="s">
        <v>198</v>
      </c>
      <c r="B18" s="314" t="s">
        <v>199</v>
      </c>
      <c r="C18" s="314" t="s">
        <v>200</v>
      </c>
      <c r="D18" s="314" t="s">
        <v>201</v>
      </c>
      <c r="E18" s="314" t="s">
        <v>202</v>
      </c>
      <c r="F18" s="314" t="s">
        <v>203</v>
      </c>
      <c r="G18" s="314" t="s">
        <v>204</v>
      </c>
      <c r="H18" s="314" t="s">
        <v>205</v>
      </c>
    </row>
    <row r="19" spans="1:8" ht="13.8" x14ac:dyDescent="0.25">
      <c r="B19" s="316">
        <v>1</v>
      </c>
      <c r="C19" s="317">
        <v>1</v>
      </c>
      <c r="D19" s="318" t="s">
        <v>16</v>
      </c>
      <c r="E19" s="319">
        <v>847</v>
      </c>
      <c r="F19" s="319"/>
      <c r="G19" s="319">
        <f>+E19+F19</f>
        <v>847</v>
      </c>
      <c r="H19" s="320">
        <f>C19*G19*2</f>
        <v>1694</v>
      </c>
    </row>
    <row r="20" spans="1:8" ht="13.8" x14ac:dyDescent="0.25">
      <c r="B20" s="326"/>
      <c r="C20" s="327"/>
      <c r="D20" s="328"/>
      <c r="E20" s="329"/>
      <c r="F20" s="329"/>
      <c r="G20" s="329"/>
      <c r="H20" s="330"/>
    </row>
    <row r="21" spans="1:8" x14ac:dyDescent="0.25">
      <c r="A21" s="331" t="s">
        <v>213</v>
      </c>
      <c r="B21" s="332" t="s">
        <v>214</v>
      </c>
      <c r="C21" s="332" t="s">
        <v>215</v>
      </c>
      <c r="D21" s="332" t="s">
        <v>216</v>
      </c>
      <c r="E21" s="332" t="s">
        <v>203</v>
      </c>
      <c r="F21" s="332" t="s">
        <v>217</v>
      </c>
      <c r="G21" s="332" t="s">
        <v>218</v>
      </c>
      <c r="H21" s="332" t="s">
        <v>219</v>
      </c>
    </row>
    <row r="22" spans="1:8" x14ac:dyDescent="0.25">
      <c r="A22" s="333" t="s">
        <v>220</v>
      </c>
      <c r="B22" s="334">
        <v>1</v>
      </c>
      <c r="C22" s="335" t="s">
        <v>221</v>
      </c>
      <c r="D22" s="336"/>
      <c r="E22" s="336"/>
      <c r="F22" s="336">
        <f>+F30/B24</f>
        <v>2537.16</v>
      </c>
      <c r="G22" s="336">
        <f>+G30/B24</f>
        <v>456.69000000000005</v>
      </c>
      <c r="H22" s="337">
        <f>+H30/B24</f>
        <v>2993.85</v>
      </c>
    </row>
    <row r="23" spans="1:8" x14ac:dyDescent="0.25">
      <c r="A23" s="338" t="s">
        <v>222</v>
      </c>
      <c r="B23" s="339"/>
      <c r="C23" s="340"/>
      <c r="D23" s="341"/>
      <c r="E23" s="341"/>
      <c r="F23" s="341"/>
      <c r="G23" s="341"/>
      <c r="H23" s="342"/>
    </row>
    <row r="24" spans="1:8" x14ac:dyDescent="0.25">
      <c r="A24" s="343" t="s">
        <v>223</v>
      </c>
      <c r="B24" s="344">
        <v>1</v>
      </c>
      <c r="C24" s="345" t="s">
        <v>221</v>
      </c>
      <c r="D24" s="341"/>
      <c r="E24" s="341"/>
      <c r="F24" s="341"/>
      <c r="G24" s="341"/>
      <c r="H24" s="342"/>
    </row>
    <row r="25" spans="1:8" x14ac:dyDescent="0.25">
      <c r="A25" s="343" t="s">
        <v>224</v>
      </c>
      <c r="B25" s="344"/>
      <c r="C25" s="345"/>
      <c r="D25" s="341"/>
      <c r="E25" s="341"/>
      <c r="F25" s="341"/>
      <c r="G25" s="341"/>
      <c r="H25" s="342"/>
    </row>
    <row r="26" spans="1:8" x14ac:dyDescent="0.25">
      <c r="A26" s="338" t="s">
        <v>225</v>
      </c>
      <c r="B26" s="344">
        <v>3.5</v>
      </c>
      <c r="C26" s="346" t="s">
        <v>226</v>
      </c>
      <c r="D26" s="341"/>
      <c r="E26" s="341"/>
      <c r="F26" s="341"/>
      <c r="G26" s="341"/>
      <c r="H26" s="342"/>
    </row>
    <row r="27" spans="1:8" x14ac:dyDescent="0.25">
      <c r="A27" s="343" t="s">
        <v>227</v>
      </c>
      <c r="B27" s="344"/>
      <c r="C27" s="345"/>
      <c r="D27" s="347"/>
      <c r="E27" s="347"/>
      <c r="F27" s="347"/>
      <c r="G27" s="347"/>
      <c r="H27" s="347"/>
    </row>
    <row r="28" spans="1:8" ht="22.8" x14ac:dyDescent="0.25">
      <c r="A28" s="338" t="s">
        <v>228</v>
      </c>
      <c r="B28" s="344">
        <v>1</v>
      </c>
      <c r="C28" s="345" t="s">
        <v>221</v>
      </c>
      <c r="D28" s="347">
        <v>1822.03</v>
      </c>
      <c r="E28" s="347">
        <v>327.97</v>
      </c>
      <c r="F28" s="347">
        <f>ROUND((B28*(D28)),2)</f>
        <v>1822.03</v>
      </c>
      <c r="G28" s="347">
        <f>ROUND((B28*(E28)),2)</f>
        <v>327.97</v>
      </c>
      <c r="H28" s="347"/>
    </row>
    <row r="29" spans="1:8" x14ac:dyDescent="0.25">
      <c r="A29" s="338" t="s">
        <v>206</v>
      </c>
      <c r="B29" s="344">
        <f>+B26</f>
        <v>3.5</v>
      </c>
      <c r="C29" s="345" t="s">
        <v>229</v>
      </c>
      <c r="D29" s="347">
        <f>gasoil</f>
        <v>204.32203389830508</v>
      </c>
      <c r="E29" s="347">
        <f>+D29*0.18</f>
        <v>36.777966101694915</v>
      </c>
      <c r="F29" s="347">
        <f>ROUND((B29*(D29)),2)</f>
        <v>715.13</v>
      </c>
      <c r="G29" s="347">
        <f>ROUND((B29*(E29)),2)</f>
        <v>128.72</v>
      </c>
      <c r="H29" s="347"/>
    </row>
    <row r="30" spans="1:8" x14ac:dyDescent="0.25">
      <c r="A30" s="348" t="s">
        <v>230</v>
      </c>
      <c r="B30" s="339"/>
      <c r="C30" s="340"/>
      <c r="D30" s="341"/>
      <c r="E30" s="341"/>
      <c r="F30" s="341">
        <f>SUM(F28:F29)</f>
        <v>2537.16</v>
      </c>
      <c r="G30" s="341">
        <f>SUM(G28:G29)</f>
        <v>456.69000000000005</v>
      </c>
      <c r="H30" s="341">
        <f>SUM(F30:G30)</f>
        <v>2993.85</v>
      </c>
    </row>
    <row r="32" spans="1:8" ht="15.6" x14ac:dyDescent="0.25">
      <c r="A32" s="181"/>
      <c r="B32" s="512" t="s">
        <v>231</v>
      </c>
      <c r="C32" s="513"/>
    </row>
    <row r="33" spans="1:8" ht="31.2" x14ac:dyDescent="0.25">
      <c r="A33" s="195" t="s">
        <v>198</v>
      </c>
      <c r="B33" s="195" t="s">
        <v>199</v>
      </c>
      <c r="C33" s="195" t="s">
        <v>200</v>
      </c>
      <c r="D33" s="195" t="s">
        <v>201</v>
      </c>
      <c r="E33" s="195" t="s">
        <v>202</v>
      </c>
      <c r="F33" s="195" t="s">
        <v>203</v>
      </c>
      <c r="G33" s="181" t="s">
        <v>204</v>
      </c>
      <c r="H33" s="195" t="s">
        <v>205</v>
      </c>
    </row>
    <row r="34" spans="1:8" ht="16.2" thickBot="1" x14ac:dyDescent="0.3">
      <c r="A34" s="195"/>
      <c r="B34" s="349" t="s">
        <v>232</v>
      </c>
      <c r="C34" s="350"/>
      <c r="D34" s="350"/>
      <c r="E34" s="350"/>
      <c r="F34" s="350"/>
      <c r="G34" s="351"/>
      <c r="H34" s="350"/>
    </row>
    <row r="35" spans="1:8" ht="15.6" x14ac:dyDescent="0.25">
      <c r="A35" s="352">
        <v>1</v>
      </c>
      <c r="B35" s="353" t="s">
        <v>233</v>
      </c>
      <c r="C35" s="354">
        <v>1</v>
      </c>
      <c r="D35" s="355" t="s">
        <v>234</v>
      </c>
      <c r="E35" s="356">
        <v>10765</v>
      </c>
      <c r="F35" s="357">
        <f>+E35*0.18</f>
        <v>1937.6999999999998</v>
      </c>
      <c r="G35" s="357">
        <f>+E35+F35</f>
        <v>12702.7</v>
      </c>
      <c r="H35" s="358">
        <f>+G35*C35</f>
        <v>12702.7</v>
      </c>
    </row>
    <row r="36" spans="1:8" ht="16.2" thickBot="1" x14ac:dyDescent="0.3">
      <c r="A36" s="182"/>
      <c r="B36" s="359"/>
      <c r="C36" s="360"/>
      <c r="D36" s="361"/>
      <c r="E36" s="362"/>
      <c r="F36" s="363"/>
      <c r="G36" s="364" t="s">
        <v>235</v>
      </c>
      <c r="H36" s="365">
        <f>+H35</f>
        <v>12702.7</v>
      </c>
    </row>
    <row r="37" spans="1:8" ht="15.6" x14ac:dyDescent="0.25">
      <c r="A37" s="182"/>
      <c r="B37" s="366" t="s">
        <v>236</v>
      </c>
      <c r="C37" s="197"/>
      <c r="D37" s="198"/>
      <c r="E37" s="199"/>
      <c r="F37" s="200"/>
      <c r="G37" s="367"/>
      <c r="H37" s="368"/>
    </row>
    <row r="38" spans="1:8" ht="15.6" x14ac:dyDescent="0.25">
      <c r="A38" s="182"/>
      <c r="B38" s="369" t="s">
        <v>237</v>
      </c>
      <c r="C38" s="197"/>
      <c r="D38" s="370"/>
      <c r="E38" s="199"/>
      <c r="F38" s="200"/>
      <c r="G38" s="200"/>
      <c r="H38" s="201"/>
    </row>
    <row r="39" spans="1:8" ht="16.2" thickBot="1" x14ac:dyDescent="0.3">
      <c r="A39" s="182">
        <v>2</v>
      </c>
      <c r="B39" s="371" t="s">
        <v>238</v>
      </c>
      <c r="C39" s="197">
        <v>1</v>
      </c>
      <c r="D39" s="370" t="s">
        <v>239</v>
      </c>
      <c r="E39" s="372"/>
      <c r="F39" s="200"/>
      <c r="G39" s="200"/>
      <c r="H39" s="201">
        <v>250</v>
      </c>
    </row>
    <row r="40" spans="1:8" ht="28.2" thickBot="1" x14ac:dyDescent="0.3">
      <c r="A40" s="182">
        <v>3</v>
      </c>
      <c r="B40" s="371" t="s">
        <v>240</v>
      </c>
      <c r="C40" s="197">
        <v>1</v>
      </c>
      <c r="D40" s="198" t="s">
        <v>241</v>
      </c>
      <c r="E40" s="372"/>
      <c r="F40" s="200"/>
      <c r="G40" s="200"/>
      <c r="H40" s="201">
        <f>+(H35+H39+H42+H43)*C40%</f>
        <v>149.02700000000002</v>
      </c>
    </row>
    <row r="41" spans="1:8" ht="15.6" x14ac:dyDescent="0.25">
      <c r="A41" s="182"/>
      <c r="B41" s="373" t="s">
        <v>242</v>
      </c>
      <c r="C41" s="197"/>
      <c r="D41" s="370"/>
      <c r="E41" s="372"/>
      <c r="F41" s="200"/>
      <c r="G41" s="200"/>
      <c r="H41" s="201"/>
    </row>
    <row r="42" spans="1:8" ht="15.6" x14ac:dyDescent="0.25">
      <c r="A42" s="182">
        <v>4</v>
      </c>
      <c r="B42" s="374" t="s">
        <v>243</v>
      </c>
      <c r="C42" s="375">
        <v>0.5</v>
      </c>
      <c r="D42" s="370" t="s">
        <v>244</v>
      </c>
      <c r="E42" s="372">
        <v>2000</v>
      </c>
      <c r="F42" s="200"/>
      <c r="G42" s="200"/>
      <c r="H42" s="201">
        <f>+E42*C42</f>
        <v>1000</v>
      </c>
    </row>
    <row r="43" spans="1:8" ht="16.2" thickBot="1" x14ac:dyDescent="0.3">
      <c r="A43" s="182">
        <v>5</v>
      </c>
      <c r="B43" s="374" t="s">
        <v>245</v>
      </c>
      <c r="C43" s="376">
        <v>1</v>
      </c>
      <c r="D43" s="370" t="s">
        <v>244</v>
      </c>
      <c r="E43" s="372">
        <v>950</v>
      </c>
      <c r="F43" s="200"/>
      <c r="G43" s="377"/>
      <c r="H43" s="378">
        <f>+E43*C43</f>
        <v>950</v>
      </c>
    </row>
    <row r="44" spans="1:8" ht="16.2" thickBot="1" x14ac:dyDescent="0.3">
      <c r="A44" s="514"/>
      <c r="B44" s="514"/>
      <c r="C44" s="514"/>
      <c r="D44" s="514"/>
      <c r="E44" s="514"/>
      <c r="F44" s="379"/>
      <c r="G44" s="380" t="s">
        <v>246</v>
      </c>
      <c r="H44" s="381">
        <f>SUM(H39:H43)/10</f>
        <v>234.90270000000001</v>
      </c>
    </row>
    <row r="45" spans="1:8" ht="15.6" x14ac:dyDescent="0.25">
      <c r="G45" s="382" t="s">
        <v>246</v>
      </c>
      <c r="H45" s="181">
        <f>+H44+H36</f>
        <v>12937.602700000001</v>
      </c>
    </row>
    <row r="47" spans="1:8" ht="15.6" x14ac:dyDescent="0.25">
      <c r="A47" s="181"/>
      <c r="B47" s="512" t="s">
        <v>247</v>
      </c>
      <c r="C47" s="513"/>
    </row>
    <row r="48" spans="1:8" ht="31.2" x14ac:dyDescent="0.25">
      <c r="A48" s="195" t="s">
        <v>198</v>
      </c>
      <c r="B48" s="195" t="s">
        <v>199</v>
      </c>
      <c r="C48" s="195" t="s">
        <v>200</v>
      </c>
      <c r="D48" s="195" t="s">
        <v>201</v>
      </c>
      <c r="E48" s="195" t="s">
        <v>202</v>
      </c>
      <c r="F48" s="195" t="s">
        <v>203</v>
      </c>
      <c r="G48" s="181" t="s">
        <v>204</v>
      </c>
      <c r="H48" s="195" t="s">
        <v>205</v>
      </c>
    </row>
    <row r="49" spans="1:8" ht="16.2" thickBot="1" x14ac:dyDescent="0.3">
      <c r="A49" s="195"/>
      <c r="B49" s="349" t="s">
        <v>232</v>
      </c>
      <c r="C49" s="350"/>
      <c r="D49" s="350"/>
      <c r="E49" s="350"/>
      <c r="F49" s="350"/>
      <c r="G49" s="351"/>
      <c r="H49" s="350"/>
    </row>
    <row r="50" spans="1:8" ht="15.6" x14ac:dyDescent="0.25">
      <c r="A50" s="352">
        <v>1</v>
      </c>
      <c r="B50" s="353" t="s">
        <v>248</v>
      </c>
      <c r="C50" s="354">
        <v>1</v>
      </c>
      <c r="D50" s="355" t="s">
        <v>234</v>
      </c>
      <c r="E50" s="356">
        <v>8280</v>
      </c>
      <c r="F50" s="357">
        <f>+E50*0.18</f>
        <v>1490.3999999999999</v>
      </c>
      <c r="G50" s="357">
        <f>+E50+F50</f>
        <v>9770.4</v>
      </c>
      <c r="H50" s="358">
        <f>+G50*C50</f>
        <v>9770.4</v>
      </c>
    </row>
    <row r="51" spans="1:8" ht="16.2" thickBot="1" x14ac:dyDescent="0.3">
      <c r="A51" s="182"/>
      <c r="B51" s="359"/>
      <c r="C51" s="360"/>
      <c r="D51" s="361"/>
      <c r="E51" s="362"/>
      <c r="F51" s="363"/>
      <c r="G51" s="364" t="s">
        <v>235</v>
      </c>
      <c r="H51" s="365">
        <f>+H50</f>
        <v>9770.4</v>
      </c>
    </row>
    <row r="52" spans="1:8" ht="15.6" x14ac:dyDescent="0.25">
      <c r="A52" s="182"/>
      <c r="B52" s="366" t="s">
        <v>236</v>
      </c>
      <c r="C52" s="197"/>
      <c r="D52" s="198"/>
      <c r="E52" s="199"/>
      <c r="F52" s="200"/>
      <c r="G52" s="367"/>
      <c r="H52" s="368"/>
    </row>
    <row r="53" spans="1:8" ht="15.6" x14ac:dyDescent="0.25">
      <c r="A53" s="182"/>
      <c r="B53" s="369" t="s">
        <v>237</v>
      </c>
      <c r="C53" s="197"/>
      <c r="D53" s="370"/>
      <c r="E53" s="199"/>
      <c r="F53" s="200"/>
      <c r="G53" s="200"/>
      <c r="H53" s="201"/>
    </row>
    <row r="54" spans="1:8" ht="16.2" thickBot="1" x14ac:dyDescent="0.3">
      <c r="A54" s="182">
        <v>2</v>
      </c>
      <c r="B54" s="371" t="s">
        <v>238</v>
      </c>
      <c r="C54" s="197">
        <v>1</v>
      </c>
      <c r="D54" s="370" t="s">
        <v>239</v>
      </c>
      <c r="E54" s="372"/>
      <c r="F54" s="200"/>
      <c r="G54" s="200"/>
      <c r="H54" s="201">
        <v>250</v>
      </c>
    </row>
    <row r="55" spans="1:8" ht="28.2" thickBot="1" x14ac:dyDescent="0.3">
      <c r="A55" s="182">
        <v>3</v>
      </c>
      <c r="B55" s="371" t="s">
        <v>240</v>
      </c>
      <c r="C55" s="197">
        <v>1</v>
      </c>
      <c r="D55" s="198" t="s">
        <v>241</v>
      </c>
      <c r="E55" s="372"/>
      <c r="F55" s="200"/>
      <c r="G55" s="200"/>
      <c r="H55" s="201">
        <f>+(H50+H54+H57+H58)*C55%</f>
        <v>119.94515</v>
      </c>
    </row>
    <row r="56" spans="1:8" ht="15.6" x14ac:dyDescent="0.25">
      <c r="A56" s="182"/>
      <c r="B56" s="373" t="s">
        <v>242</v>
      </c>
      <c r="C56" s="197"/>
      <c r="D56" s="370"/>
      <c r="E56" s="372"/>
      <c r="F56" s="200"/>
      <c r="G56" s="200"/>
      <c r="H56" s="201"/>
    </row>
    <row r="57" spans="1:8" ht="15.6" x14ac:dyDescent="0.25">
      <c r="A57" s="182">
        <v>4</v>
      </c>
      <c r="B57" s="374" t="s">
        <v>243</v>
      </c>
      <c r="C57" s="375">
        <v>0.5</v>
      </c>
      <c r="D57" s="370" t="s">
        <v>244</v>
      </c>
      <c r="E57" s="372">
        <f>ma</f>
        <v>1898.49</v>
      </c>
      <c r="F57" s="200"/>
      <c r="G57" s="200"/>
      <c r="H57" s="201">
        <f>+E57*C57</f>
        <v>949.245</v>
      </c>
    </row>
    <row r="58" spans="1:8" ht="16.2" thickBot="1" x14ac:dyDescent="0.3">
      <c r="A58" s="182">
        <v>5</v>
      </c>
      <c r="B58" s="374" t="s">
        <v>245</v>
      </c>
      <c r="C58" s="376">
        <v>1</v>
      </c>
      <c r="D58" s="370" t="s">
        <v>244</v>
      </c>
      <c r="E58" s="372">
        <f>ayu</f>
        <v>1024.8699999999999</v>
      </c>
      <c r="F58" s="200"/>
      <c r="G58" s="377"/>
      <c r="H58" s="378">
        <f>+E58*C58</f>
        <v>1024.8699999999999</v>
      </c>
    </row>
    <row r="59" spans="1:8" ht="16.2" thickBot="1" x14ac:dyDescent="0.3">
      <c r="A59" s="514"/>
      <c r="B59" s="514"/>
      <c r="C59" s="514"/>
      <c r="D59" s="514"/>
      <c r="E59" s="514"/>
      <c r="F59" s="379"/>
      <c r="G59" s="380" t="s">
        <v>246</v>
      </c>
      <c r="H59" s="381">
        <f>SUM(H54:H58)/10</f>
        <v>234.40601499999997</v>
      </c>
    </row>
    <row r="60" spans="1:8" ht="15.6" x14ac:dyDescent="0.25">
      <c r="G60" s="382" t="s">
        <v>246</v>
      </c>
      <c r="H60" s="181">
        <f>+H59+H51</f>
        <v>10004.806015</v>
      </c>
    </row>
    <row r="63" spans="1:8" ht="15.6" x14ac:dyDescent="0.25">
      <c r="A63" s="181"/>
      <c r="B63" s="512" t="s">
        <v>249</v>
      </c>
      <c r="C63" s="513"/>
    </row>
    <row r="64" spans="1:8" ht="31.2" x14ac:dyDescent="0.25">
      <c r="A64" s="195" t="s">
        <v>198</v>
      </c>
      <c r="B64" s="195" t="s">
        <v>199</v>
      </c>
      <c r="C64" s="195" t="s">
        <v>200</v>
      </c>
      <c r="D64" s="195" t="s">
        <v>201</v>
      </c>
      <c r="E64" s="195" t="s">
        <v>202</v>
      </c>
      <c r="F64" s="195" t="s">
        <v>203</v>
      </c>
      <c r="G64" s="181" t="s">
        <v>204</v>
      </c>
      <c r="H64" s="195" t="s">
        <v>205</v>
      </c>
    </row>
    <row r="65" spans="1:8" ht="16.2" thickBot="1" x14ac:dyDescent="0.3">
      <c r="A65" s="195"/>
      <c r="B65" s="349" t="s">
        <v>232</v>
      </c>
      <c r="C65" s="350"/>
      <c r="D65" s="350"/>
      <c r="E65" s="350"/>
      <c r="F65" s="350"/>
      <c r="G65" s="351"/>
      <c r="H65" s="350"/>
    </row>
    <row r="66" spans="1:8" ht="15.6" x14ac:dyDescent="0.25">
      <c r="A66" s="352">
        <v>1</v>
      </c>
      <c r="B66" s="353" t="s">
        <v>248</v>
      </c>
      <c r="C66" s="354">
        <v>1</v>
      </c>
      <c r="D66" s="355" t="s">
        <v>234</v>
      </c>
      <c r="E66" s="356">
        <v>5500</v>
      </c>
      <c r="F66" s="357">
        <f>+E66*0.18</f>
        <v>990</v>
      </c>
      <c r="G66" s="357">
        <f>+E66+F66</f>
        <v>6490</v>
      </c>
      <c r="H66" s="358">
        <f>+G66*C66</f>
        <v>6490</v>
      </c>
    </row>
    <row r="67" spans="1:8" ht="16.2" thickBot="1" x14ac:dyDescent="0.3">
      <c r="A67" s="182"/>
      <c r="B67" s="359"/>
      <c r="C67" s="360"/>
      <c r="D67" s="361"/>
      <c r="E67" s="362"/>
      <c r="F67" s="363"/>
      <c r="G67" s="364" t="s">
        <v>235</v>
      </c>
      <c r="H67" s="365">
        <f>+H66</f>
        <v>6490</v>
      </c>
    </row>
    <row r="68" spans="1:8" ht="15.6" x14ac:dyDescent="0.25">
      <c r="A68" s="182"/>
      <c r="B68" s="366" t="s">
        <v>236</v>
      </c>
      <c r="C68" s="197"/>
      <c r="D68" s="198"/>
      <c r="E68" s="199"/>
      <c r="F68" s="200"/>
      <c r="G68" s="367"/>
      <c r="H68" s="368"/>
    </row>
    <row r="69" spans="1:8" ht="15.6" x14ac:dyDescent="0.25">
      <c r="A69" s="182"/>
      <c r="B69" s="369" t="s">
        <v>237</v>
      </c>
      <c r="C69" s="197"/>
      <c r="D69" s="370"/>
      <c r="E69" s="199"/>
      <c r="F69" s="200"/>
      <c r="G69" s="200"/>
      <c r="H69" s="201"/>
    </row>
    <row r="70" spans="1:8" ht="16.2" thickBot="1" x14ac:dyDescent="0.3">
      <c r="A70" s="182">
        <v>2</v>
      </c>
      <c r="B70" s="371" t="s">
        <v>238</v>
      </c>
      <c r="C70" s="197">
        <v>1</v>
      </c>
      <c r="D70" s="370" t="s">
        <v>239</v>
      </c>
      <c r="E70" s="372"/>
      <c r="F70" s="200"/>
      <c r="G70" s="200"/>
      <c r="H70" s="201">
        <v>250</v>
      </c>
    </row>
    <row r="71" spans="1:8" ht="28.2" thickBot="1" x14ac:dyDescent="0.3">
      <c r="A71" s="182">
        <v>3</v>
      </c>
      <c r="B71" s="371" t="s">
        <v>240</v>
      </c>
      <c r="C71" s="197">
        <v>1</v>
      </c>
      <c r="D71" s="198" t="s">
        <v>241</v>
      </c>
      <c r="E71" s="372"/>
      <c r="F71" s="200"/>
      <c r="G71" s="200"/>
      <c r="H71" s="201">
        <f>+(H66+H70+H73+H74)*C71%</f>
        <v>87.141149999999996</v>
      </c>
    </row>
    <row r="72" spans="1:8" ht="15.6" x14ac:dyDescent="0.25">
      <c r="A72" s="182"/>
      <c r="B72" s="373" t="s">
        <v>242</v>
      </c>
      <c r="C72" s="197"/>
      <c r="D72" s="370"/>
      <c r="E72" s="372"/>
      <c r="F72" s="200"/>
      <c r="G72" s="200"/>
      <c r="H72" s="201"/>
    </row>
    <row r="73" spans="1:8" ht="15.6" x14ac:dyDescent="0.25">
      <c r="A73" s="182">
        <v>4</v>
      </c>
      <c r="B73" s="374" t="s">
        <v>243</v>
      </c>
      <c r="C73" s="375">
        <v>0.5</v>
      </c>
      <c r="D73" s="370" t="s">
        <v>244</v>
      </c>
      <c r="E73" s="372">
        <f>ma</f>
        <v>1898.49</v>
      </c>
      <c r="F73" s="200"/>
      <c r="G73" s="200"/>
      <c r="H73" s="201">
        <f>+E73*C73</f>
        <v>949.245</v>
      </c>
    </row>
    <row r="74" spans="1:8" ht="16.2" thickBot="1" x14ac:dyDescent="0.3">
      <c r="A74" s="182">
        <v>5</v>
      </c>
      <c r="B74" s="374" t="s">
        <v>245</v>
      </c>
      <c r="C74" s="376">
        <v>1</v>
      </c>
      <c r="D74" s="370" t="s">
        <v>244</v>
      </c>
      <c r="E74" s="372">
        <f>ayu</f>
        <v>1024.8699999999999</v>
      </c>
      <c r="F74" s="200"/>
      <c r="G74" s="377"/>
      <c r="H74" s="378">
        <f>+E74*C74</f>
        <v>1024.8699999999999</v>
      </c>
    </row>
    <row r="75" spans="1:8" ht="16.2" thickBot="1" x14ac:dyDescent="0.3">
      <c r="A75" s="514"/>
      <c r="B75" s="514"/>
      <c r="C75" s="514"/>
      <c r="D75" s="514"/>
      <c r="E75" s="514"/>
      <c r="F75" s="379"/>
      <c r="G75" s="380" t="s">
        <v>246</v>
      </c>
      <c r="H75" s="381">
        <f>SUM(H70:H74)/10</f>
        <v>231.12561500000001</v>
      </c>
    </row>
    <row r="76" spans="1:8" ht="15.6" x14ac:dyDescent="0.25">
      <c r="G76" s="382" t="s">
        <v>246</v>
      </c>
      <c r="H76" s="181">
        <f>+H75+H67</f>
        <v>6721.1256149999999</v>
      </c>
    </row>
    <row r="78" spans="1:8" ht="15.6" x14ac:dyDescent="0.25">
      <c r="A78" s="181"/>
      <c r="B78" s="512" t="s">
        <v>250</v>
      </c>
      <c r="C78" s="513"/>
    </row>
    <row r="79" spans="1:8" ht="31.2" x14ac:dyDescent="0.25">
      <c r="A79" s="195" t="s">
        <v>198</v>
      </c>
      <c r="B79" s="195" t="s">
        <v>199</v>
      </c>
      <c r="C79" s="195" t="s">
        <v>200</v>
      </c>
      <c r="D79" s="195" t="s">
        <v>201</v>
      </c>
      <c r="E79" s="195" t="s">
        <v>202</v>
      </c>
      <c r="F79" s="195" t="s">
        <v>203</v>
      </c>
      <c r="G79" s="181" t="s">
        <v>204</v>
      </c>
      <c r="H79" s="195" t="s">
        <v>205</v>
      </c>
    </row>
    <row r="80" spans="1:8" ht="16.2" thickBot="1" x14ac:dyDescent="0.3">
      <c r="A80" s="195"/>
      <c r="B80" s="349" t="s">
        <v>232</v>
      </c>
      <c r="C80" s="350"/>
      <c r="D80" s="350"/>
      <c r="E80" s="350"/>
      <c r="F80" s="350"/>
      <c r="G80" s="351"/>
      <c r="H80" s="350"/>
    </row>
    <row r="81" spans="1:8" ht="15.6" x14ac:dyDescent="0.25">
      <c r="A81" s="352">
        <v>1</v>
      </c>
      <c r="B81" s="353" t="s">
        <v>248</v>
      </c>
      <c r="C81" s="354">
        <v>1</v>
      </c>
      <c r="D81" s="355" t="s">
        <v>234</v>
      </c>
      <c r="E81" s="356">
        <v>6500</v>
      </c>
      <c r="F81" s="357">
        <f>+E81*0.18</f>
        <v>1170</v>
      </c>
      <c r="G81" s="357">
        <f>+E81+F81</f>
        <v>7670</v>
      </c>
      <c r="H81" s="358">
        <f>+G81*C81</f>
        <v>7670</v>
      </c>
    </row>
    <row r="82" spans="1:8" ht="16.2" thickBot="1" x14ac:dyDescent="0.3">
      <c r="A82" s="182"/>
      <c r="B82" s="359"/>
      <c r="C82" s="360"/>
      <c r="D82" s="361"/>
      <c r="E82" s="362"/>
      <c r="F82" s="363"/>
      <c r="G82" s="364" t="s">
        <v>235</v>
      </c>
      <c r="H82" s="365">
        <f>+H81</f>
        <v>7670</v>
      </c>
    </row>
    <row r="83" spans="1:8" ht="15.6" x14ac:dyDescent="0.25">
      <c r="A83" s="182"/>
      <c r="B83" s="366" t="s">
        <v>236</v>
      </c>
      <c r="C83" s="197"/>
      <c r="D83" s="198"/>
      <c r="E83" s="199"/>
      <c r="F83" s="200"/>
      <c r="G83" s="367"/>
      <c r="H83" s="368"/>
    </row>
    <row r="84" spans="1:8" ht="15.6" x14ac:dyDescent="0.25">
      <c r="A84" s="182"/>
      <c r="B84" s="369" t="s">
        <v>237</v>
      </c>
      <c r="C84" s="197"/>
      <c r="D84" s="370"/>
      <c r="E84" s="199"/>
      <c r="F84" s="200"/>
      <c r="G84" s="200"/>
      <c r="H84" s="201"/>
    </row>
    <row r="85" spans="1:8" ht="16.2" thickBot="1" x14ac:dyDescent="0.3">
      <c r="A85" s="182">
        <v>2</v>
      </c>
      <c r="B85" s="371" t="s">
        <v>238</v>
      </c>
      <c r="C85" s="197">
        <v>1</v>
      </c>
      <c r="D85" s="370" t="s">
        <v>239</v>
      </c>
      <c r="E85" s="372"/>
      <c r="F85" s="200"/>
      <c r="G85" s="200"/>
      <c r="H85" s="201">
        <v>250</v>
      </c>
    </row>
    <row r="86" spans="1:8" ht="28.2" thickBot="1" x14ac:dyDescent="0.3">
      <c r="A86" s="182">
        <v>3</v>
      </c>
      <c r="B86" s="371" t="s">
        <v>240</v>
      </c>
      <c r="C86" s="197">
        <v>1</v>
      </c>
      <c r="D86" s="198" t="s">
        <v>241</v>
      </c>
      <c r="E86" s="372"/>
      <c r="F86" s="200"/>
      <c r="G86" s="200"/>
      <c r="H86" s="201">
        <f>+(H81+H85+H88+H89)*C86%</f>
        <v>98.941150000000022</v>
      </c>
    </row>
    <row r="87" spans="1:8" ht="15.6" x14ac:dyDescent="0.25">
      <c r="A87" s="182"/>
      <c r="B87" s="373" t="s">
        <v>242</v>
      </c>
      <c r="C87" s="197"/>
      <c r="D87" s="370"/>
      <c r="E87" s="372"/>
      <c r="F87" s="200"/>
      <c r="G87" s="200"/>
      <c r="H87" s="201"/>
    </row>
    <row r="88" spans="1:8" ht="15.6" x14ac:dyDescent="0.25">
      <c r="A88" s="182">
        <v>4</v>
      </c>
      <c r="B88" s="374" t="s">
        <v>243</v>
      </c>
      <c r="C88" s="375">
        <v>0.5</v>
      </c>
      <c r="D88" s="370" t="s">
        <v>244</v>
      </c>
      <c r="E88" s="372">
        <f>ma</f>
        <v>1898.49</v>
      </c>
      <c r="F88" s="200"/>
      <c r="G88" s="200"/>
      <c r="H88" s="201">
        <f>+E88*C88</f>
        <v>949.245</v>
      </c>
    </row>
    <row r="89" spans="1:8" ht="16.2" thickBot="1" x14ac:dyDescent="0.3">
      <c r="A89" s="182">
        <v>5</v>
      </c>
      <c r="B89" s="374" t="s">
        <v>245</v>
      </c>
      <c r="C89" s="376">
        <v>1</v>
      </c>
      <c r="D89" s="370" t="s">
        <v>244</v>
      </c>
      <c r="E89" s="372">
        <f>ayu</f>
        <v>1024.8699999999999</v>
      </c>
      <c r="F89" s="200"/>
      <c r="G89" s="377"/>
      <c r="H89" s="378">
        <f>+E89*C89</f>
        <v>1024.8699999999999</v>
      </c>
    </row>
    <row r="90" spans="1:8" ht="16.2" thickBot="1" x14ac:dyDescent="0.3">
      <c r="A90" s="514"/>
      <c r="B90" s="514"/>
      <c r="C90" s="514"/>
      <c r="D90" s="514"/>
      <c r="E90" s="514"/>
      <c r="F90" s="379"/>
      <c r="G90" s="380" t="s">
        <v>246</v>
      </c>
      <c r="H90" s="381">
        <f>SUM(H85:H89)/10</f>
        <v>232.30561499999999</v>
      </c>
    </row>
    <row r="91" spans="1:8" ht="15.6" x14ac:dyDescent="0.25">
      <c r="G91" s="382" t="s">
        <v>246</v>
      </c>
      <c r="H91" s="181">
        <f>+H90+H82</f>
        <v>7902.3056150000002</v>
      </c>
    </row>
    <row r="94" spans="1:8" ht="15.6" x14ac:dyDescent="0.25">
      <c r="A94" s="193">
        <v>12</v>
      </c>
      <c r="B94" s="515" t="s">
        <v>251</v>
      </c>
      <c r="C94" s="516"/>
      <c r="D94" s="517"/>
      <c r="E94" s="194"/>
      <c r="F94" s="194"/>
      <c r="G94" s="194"/>
      <c r="H94" s="194"/>
    </row>
    <row r="95" spans="1:8" ht="31.2" x14ac:dyDescent="0.25">
      <c r="A95" s="195" t="s">
        <v>198</v>
      </c>
      <c r="B95" s="195" t="s">
        <v>199</v>
      </c>
      <c r="C95" s="195" t="s">
        <v>200</v>
      </c>
      <c r="D95" s="195" t="s">
        <v>201</v>
      </c>
      <c r="E95" s="195" t="s">
        <v>202</v>
      </c>
      <c r="F95" s="195" t="s">
        <v>203</v>
      </c>
      <c r="G95" s="181" t="s">
        <v>204</v>
      </c>
      <c r="H95" s="195" t="s">
        <v>205</v>
      </c>
    </row>
    <row r="96" spans="1:8" ht="15.6" x14ac:dyDescent="0.25">
      <c r="A96" s="195">
        <v>1</v>
      </c>
      <c r="B96" s="196" t="s">
        <v>413</v>
      </c>
      <c r="C96" s="197">
        <v>20</v>
      </c>
      <c r="D96" s="198" t="s">
        <v>414</v>
      </c>
      <c r="E96" s="199">
        <f>tc</f>
        <v>797.39</v>
      </c>
      <c r="F96" s="200">
        <v>0</v>
      </c>
      <c r="G96" s="200">
        <f>+E96+F96</f>
        <v>797.39</v>
      </c>
      <c r="H96" s="201">
        <f>+G96*C96</f>
        <v>15947.8</v>
      </c>
    </row>
    <row r="97" spans="1:8" ht="15.6" x14ac:dyDescent="0.25">
      <c r="A97" s="195">
        <v>2</v>
      </c>
      <c r="B97" s="196" t="s">
        <v>254</v>
      </c>
      <c r="C97" s="197">
        <v>1</v>
      </c>
      <c r="D97" s="198" t="s">
        <v>253</v>
      </c>
      <c r="E97" s="199">
        <v>4500</v>
      </c>
      <c r="F97" s="200">
        <v>810</v>
      </c>
      <c r="G97" s="200">
        <f>+E97+F97</f>
        <v>5310</v>
      </c>
      <c r="H97" s="201">
        <f>+G97*C97</f>
        <v>5310</v>
      </c>
    </row>
    <row r="98" spans="1:8" ht="31.2" x14ac:dyDescent="0.25">
      <c r="A98" s="195">
        <v>3</v>
      </c>
      <c r="B98" s="196" t="s">
        <v>255</v>
      </c>
      <c r="C98" s="197">
        <v>35</v>
      </c>
      <c r="D98" s="198" t="s">
        <v>164</v>
      </c>
      <c r="E98" s="199">
        <v>350</v>
      </c>
      <c r="F98" s="200">
        <v>8.68</v>
      </c>
      <c r="G98" s="200">
        <f>+E98+F98</f>
        <v>358.68</v>
      </c>
      <c r="H98" s="201">
        <f>+E98*C98</f>
        <v>12250</v>
      </c>
    </row>
    <row r="99" spans="1:8" ht="16.2" thickBot="1" x14ac:dyDescent="0.3">
      <c r="A99" s="195">
        <v>4</v>
      </c>
      <c r="B99" s="196" t="s">
        <v>256</v>
      </c>
      <c r="C99" s="197">
        <v>1000</v>
      </c>
      <c r="D99" s="198" t="s">
        <v>257</v>
      </c>
      <c r="E99" s="199"/>
      <c r="F99" s="200"/>
      <c r="G99" s="200">
        <f>+E99+F99</f>
        <v>0</v>
      </c>
      <c r="H99" s="201">
        <f>+E99*C99</f>
        <v>0</v>
      </c>
    </row>
    <row r="100" spans="1:8" ht="16.2" thickBot="1" x14ac:dyDescent="0.3">
      <c r="A100" s="518"/>
      <c r="B100" s="518"/>
      <c r="C100" s="518"/>
      <c r="D100" s="518"/>
      <c r="E100" s="518"/>
      <c r="F100" s="202"/>
      <c r="G100" s="203" t="s">
        <v>246</v>
      </c>
      <c r="H100" s="204">
        <f>SUM(H96:H99)/C99</f>
        <v>33.507800000000003</v>
      </c>
    </row>
    <row r="102" spans="1:8" ht="15.6" x14ac:dyDescent="0.25">
      <c r="A102" s="181">
        <v>1</v>
      </c>
      <c r="B102" s="509" t="s">
        <v>258</v>
      </c>
      <c r="C102" s="510"/>
      <c r="D102" s="510"/>
    </row>
    <row r="103" spans="1:8" ht="27.6" x14ac:dyDescent="0.25">
      <c r="A103" s="182" t="s">
        <v>198</v>
      </c>
      <c r="B103" s="182" t="s">
        <v>199</v>
      </c>
      <c r="C103" s="182" t="s">
        <v>200</v>
      </c>
      <c r="D103" s="182" t="s">
        <v>201</v>
      </c>
      <c r="E103" s="182" t="s">
        <v>202</v>
      </c>
      <c r="F103" s="182" t="s">
        <v>203</v>
      </c>
      <c r="G103" s="183" t="s">
        <v>204</v>
      </c>
      <c r="H103" s="182" t="s">
        <v>205</v>
      </c>
    </row>
    <row r="104" spans="1:8" ht="13.8" x14ac:dyDescent="0.25">
      <c r="A104" s="383">
        <v>1</v>
      </c>
      <c r="B104" s="184" t="s">
        <v>258</v>
      </c>
      <c r="C104" s="185">
        <v>1</v>
      </c>
      <c r="D104" s="186" t="s">
        <v>259</v>
      </c>
      <c r="E104" s="187">
        <v>19915.254237288136</v>
      </c>
      <c r="F104" s="187">
        <f>+E104*0.18</f>
        <v>3584.7457627118642</v>
      </c>
      <c r="G104" s="187">
        <f>+E104+F104</f>
        <v>23500</v>
      </c>
      <c r="H104" s="188">
        <f>C104*G104</f>
        <v>23500</v>
      </c>
    </row>
    <row r="105" spans="1:8" ht="13.8" x14ac:dyDescent="0.25">
      <c r="A105" s="520" t="s">
        <v>260</v>
      </c>
      <c r="B105" s="520"/>
      <c r="C105" s="520"/>
      <c r="D105" s="520"/>
      <c r="E105" s="520"/>
      <c r="F105" s="312"/>
      <c r="G105" s="189"/>
      <c r="H105" s="190">
        <f>SUM(H104:H104)</f>
        <v>23500</v>
      </c>
    </row>
    <row r="106" spans="1:8" ht="17.399999999999999" x14ac:dyDescent="0.3">
      <c r="A106" s="191"/>
      <c r="B106" s="191"/>
      <c r="C106" s="191"/>
      <c r="D106" s="191"/>
      <c r="E106" s="191"/>
      <c r="F106" s="191"/>
      <c r="G106" s="192" t="s">
        <v>261</v>
      </c>
      <c r="H106" s="192">
        <f>+H105/500</f>
        <v>47</v>
      </c>
    </row>
    <row r="108" spans="1:8" ht="15.6" x14ac:dyDescent="0.25">
      <c r="A108" s="181">
        <v>1</v>
      </c>
      <c r="B108" s="512" t="s">
        <v>262</v>
      </c>
      <c r="C108" s="513"/>
      <c r="D108" s="513"/>
    </row>
    <row r="109" spans="1:8" ht="31.2" x14ac:dyDescent="0.25">
      <c r="A109" s="195" t="s">
        <v>198</v>
      </c>
      <c r="B109" s="195" t="s">
        <v>199</v>
      </c>
      <c r="C109" s="195" t="s">
        <v>200</v>
      </c>
      <c r="D109" s="195" t="s">
        <v>201</v>
      </c>
      <c r="E109" s="195" t="s">
        <v>202</v>
      </c>
      <c r="F109" s="195" t="s">
        <v>263</v>
      </c>
      <c r="G109" s="181" t="s">
        <v>204</v>
      </c>
      <c r="H109" s="195" t="s">
        <v>205</v>
      </c>
    </row>
    <row r="110" spans="1:8" ht="15.6" x14ac:dyDescent="0.25">
      <c r="A110" s="195">
        <v>1</v>
      </c>
      <c r="B110" s="384" t="s">
        <v>264</v>
      </c>
      <c r="C110" s="385">
        <v>1</v>
      </c>
      <c r="D110" s="384" t="s">
        <v>221</v>
      </c>
      <c r="E110" s="198">
        <v>450</v>
      </c>
      <c r="F110" s="386">
        <f>+E110*0.18</f>
        <v>81</v>
      </c>
      <c r="G110" s="386">
        <f>+E110+F110</f>
        <v>531</v>
      </c>
      <c r="H110" s="387">
        <f>+G110*C110</f>
        <v>531</v>
      </c>
    </row>
    <row r="111" spans="1:8" ht="15.6" x14ac:dyDescent="0.25">
      <c r="A111" s="195">
        <v>2</v>
      </c>
      <c r="B111" s="384" t="s">
        <v>206</v>
      </c>
      <c r="C111" s="385">
        <v>1</v>
      </c>
      <c r="D111" s="198" t="s">
        <v>229</v>
      </c>
      <c r="E111" s="198">
        <f>gasolina</f>
        <v>248.81355932203394</v>
      </c>
      <c r="F111" s="386">
        <f>+E111*0.18</f>
        <v>44.786440677966105</v>
      </c>
      <c r="G111" s="386">
        <f>+E111+F111</f>
        <v>293.60000000000002</v>
      </c>
      <c r="H111" s="387">
        <f>+G111*C111</f>
        <v>293.60000000000002</v>
      </c>
    </row>
    <row r="112" spans="1:8" ht="15.6" x14ac:dyDescent="0.25">
      <c r="A112" s="195">
        <v>3</v>
      </c>
      <c r="B112" s="384" t="s">
        <v>265</v>
      </c>
      <c r="C112" s="388">
        <v>1</v>
      </c>
      <c r="D112" s="198" t="s">
        <v>221</v>
      </c>
      <c r="E112" s="198">
        <f>op_1era/8</f>
        <v>237.31125</v>
      </c>
      <c r="F112" s="386"/>
      <c r="G112" s="386"/>
      <c r="H112" s="387">
        <f>+C112+E112</f>
        <v>238.31125</v>
      </c>
    </row>
    <row r="113" spans="1:10" ht="15.6" x14ac:dyDescent="0.25">
      <c r="A113" s="195">
        <v>4</v>
      </c>
      <c r="B113" s="384" t="s">
        <v>266</v>
      </c>
      <c r="C113" s="388">
        <v>2</v>
      </c>
      <c r="D113" s="198" t="s">
        <v>221</v>
      </c>
      <c r="E113" s="198">
        <f>ayu/8</f>
        <v>128.10874999999999</v>
      </c>
      <c r="F113" s="386"/>
      <c r="G113" s="386"/>
      <c r="H113" s="387">
        <f>+C113+E113</f>
        <v>130.10874999999999</v>
      </c>
    </row>
    <row r="114" spans="1:10" ht="15.6" x14ac:dyDescent="0.25">
      <c r="A114" s="195">
        <v>5</v>
      </c>
      <c r="B114" s="386" t="s">
        <v>267</v>
      </c>
      <c r="C114" s="388">
        <v>35</v>
      </c>
      <c r="D114" s="386" t="s">
        <v>268</v>
      </c>
      <c r="E114" s="386"/>
      <c r="F114" s="386"/>
      <c r="G114" s="386"/>
      <c r="H114" s="387"/>
    </row>
    <row r="115" spans="1:10" ht="15.6" x14ac:dyDescent="0.25">
      <c r="A115" s="519" t="s">
        <v>269</v>
      </c>
      <c r="B115" s="519"/>
      <c r="C115" s="519"/>
      <c r="D115" s="519"/>
      <c r="E115" s="519"/>
      <c r="F115" s="389"/>
      <c r="G115" s="389"/>
      <c r="H115" s="390">
        <f>SUM(H110:H114)</f>
        <v>1193.02</v>
      </c>
    </row>
    <row r="116" spans="1:10" ht="15.6" x14ac:dyDescent="0.25">
      <c r="G116" s="192" t="s">
        <v>270</v>
      </c>
      <c r="H116" s="192">
        <f>+H115/C114</f>
        <v>34.086285714285715</v>
      </c>
    </row>
    <row r="118" spans="1:10" ht="15.6" x14ac:dyDescent="0.25">
      <c r="A118" s="181">
        <v>1</v>
      </c>
      <c r="B118" s="391" t="s">
        <v>271</v>
      </c>
    </row>
    <row r="119" spans="1:10" ht="31.2" x14ac:dyDescent="0.25">
      <c r="A119" s="195" t="s">
        <v>198</v>
      </c>
      <c r="B119" s="195" t="s">
        <v>199</v>
      </c>
      <c r="C119" s="195" t="s">
        <v>200</v>
      </c>
      <c r="D119" s="195" t="s">
        <v>201</v>
      </c>
      <c r="E119" s="195" t="s">
        <v>202</v>
      </c>
      <c r="F119" s="195" t="s">
        <v>203</v>
      </c>
      <c r="G119" s="181" t="s">
        <v>204</v>
      </c>
      <c r="H119" s="195" t="s">
        <v>205</v>
      </c>
    </row>
    <row r="120" spans="1:10" ht="15.6" x14ac:dyDescent="0.25">
      <c r="A120" s="195"/>
      <c r="B120" s="521" t="s">
        <v>272</v>
      </c>
      <c r="C120" s="522"/>
      <c r="D120" s="522"/>
      <c r="E120" s="522"/>
      <c r="F120" s="522"/>
      <c r="G120" s="522"/>
      <c r="H120" s="523"/>
    </row>
    <row r="121" spans="1:10" ht="15.6" x14ac:dyDescent="0.25">
      <c r="A121" s="195"/>
      <c r="B121" s="384" t="s">
        <v>273</v>
      </c>
      <c r="C121" s="385">
        <v>1</v>
      </c>
      <c r="D121" s="384" t="s">
        <v>221</v>
      </c>
      <c r="E121" s="198">
        <f>+D28-E122</f>
        <v>1547.03</v>
      </c>
      <c r="F121" s="198">
        <f>+E28</f>
        <v>327.97</v>
      </c>
      <c r="G121" s="386">
        <f>+E121+F121</f>
        <v>1875</v>
      </c>
      <c r="H121" s="387">
        <f>+G121*C121</f>
        <v>1875</v>
      </c>
    </row>
    <row r="122" spans="1:10" ht="15.6" x14ac:dyDescent="0.25">
      <c r="A122" s="195"/>
      <c r="B122" s="384" t="s">
        <v>274</v>
      </c>
      <c r="C122" s="385">
        <v>1</v>
      </c>
      <c r="D122" s="384" t="s">
        <v>221</v>
      </c>
      <c r="E122" s="201">
        <v>275</v>
      </c>
      <c r="F122" s="200"/>
      <c r="G122" s="386"/>
      <c r="H122" s="387">
        <f>+C122*E122</f>
        <v>275</v>
      </c>
    </row>
    <row r="123" spans="1:10" ht="15.6" x14ac:dyDescent="0.25">
      <c r="A123" s="195"/>
      <c r="B123" s="384" t="s">
        <v>275</v>
      </c>
      <c r="C123" s="385">
        <v>4</v>
      </c>
      <c r="D123" s="198" t="s">
        <v>229</v>
      </c>
      <c r="E123" s="198">
        <f>gasoil</f>
        <v>204.32203389830508</v>
      </c>
      <c r="F123" s="386">
        <f>+E123*0.18</f>
        <v>36.777966101694915</v>
      </c>
      <c r="G123" s="386">
        <f>+E123+F123</f>
        <v>241.1</v>
      </c>
      <c r="H123" s="387">
        <f>+G123*C123</f>
        <v>964.4</v>
      </c>
      <c r="J123" s="472"/>
    </row>
    <row r="124" spans="1:10" ht="15.6" x14ac:dyDescent="0.25">
      <c r="A124" s="195"/>
      <c r="B124" s="384" t="s">
        <v>265</v>
      </c>
      <c r="C124" s="388">
        <v>1</v>
      </c>
      <c r="D124" s="198" t="s">
        <v>221</v>
      </c>
      <c r="E124" s="198">
        <f>op_1era/8</f>
        <v>237.31125</v>
      </c>
      <c r="F124" s="386"/>
      <c r="G124" s="386"/>
      <c r="H124" s="387">
        <f>+C124+E124</f>
        <v>238.31125</v>
      </c>
    </row>
    <row r="125" spans="1:10" ht="15.6" x14ac:dyDescent="0.25">
      <c r="A125" s="195"/>
      <c r="B125" s="384" t="s">
        <v>266</v>
      </c>
      <c r="C125" s="388">
        <v>2</v>
      </c>
      <c r="D125" s="198" t="s">
        <v>221</v>
      </c>
      <c r="E125" s="198">
        <f>ayu/8</f>
        <v>128.10874999999999</v>
      </c>
      <c r="F125" s="386"/>
      <c r="G125" s="386"/>
      <c r="H125" s="387">
        <f>+C125+E125</f>
        <v>130.10874999999999</v>
      </c>
    </row>
    <row r="126" spans="1:10" ht="15.6" x14ac:dyDescent="0.25">
      <c r="A126" s="195"/>
      <c r="B126" s="386" t="s">
        <v>276</v>
      </c>
      <c r="C126" s="387">
        <v>75</v>
      </c>
      <c r="D126" s="386" t="s">
        <v>268</v>
      </c>
      <c r="E126" s="386"/>
      <c r="F126" s="386"/>
      <c r="G126" s="386"/>
      <c r="H126" s="387"/>
    </row>
    <row r="127" spans="1:10" ht="15.6" x14ac:dyDescent="0.25">
      <c r="A127" s="195"/>
      <c r="B127" s="393"/>
      <c r="C127" s="394"/>
      <c r="D127" s="395"/>
      <c r="E127" s="396"/>
      <c r="F127" s="396"/>
      <c r="G127" s="396"/>
      <c r="H127" s="397"/>
    </row>
    <row r="128" spans="1:10" ht="15.6" x14ac:dyDescent="0.25">
      <c r="A128" s="524"/>
      <c r="B128" s="524"/>
      <c r="C128" s="524"/>
      <c r="D128" s="524"/>
      <c r="E128" s="524"/>
      <c r="F128" s="398"/>
      <c r="G128" s="398" t="s">
        <v>219</v>
      </c>
      <c r="H128" s="399">
        <f>SUM(H121:H127)</f>
        <v>3482.82</v>
      </c>
    </row>
    <row r="129" spans="1:8" ht="15.6" x14ac:dyDescent="0.25">
      <c r="A129" s="367"/>
      <c r="B129" s="367"/>
      <c r="C129" s="367"/>
      <c r="D129" s="367"/>
      <c r="E129" s="367"/>
      <c r="F129" s="367"/>
      <c r="G129" s="192" t="s">
        <v>277</v>
      </c>
      <c r="H129" s="400">
        <f>+H128/C126</f>
        <v>46.437600000000003</v>
      </c>
    </row>
    <row r="132" spans="1:8" ht="15.6" x14ac:dyDescent="0.25">
      <c r="A132" s="181">
        <v>1</v>
      </c>
      <c r="B132" s="512" t="s">
        <v>278</v>
      </c>
      <c r="C132" s="513"/>
      <c r="D132" s="513"/>
    </row>
    <row r="133" spans="1:8" ht="31.2" x14ac:dyDescent="0.25">
      <c r="A133" s="195" t="s">
        <v>198</v>
      </c>
      <c r="B133" s="195" t="s">
        <v>199</v>
      </c>
      <c r="C133" s="195" t="s">
        <v>200</v>
      </c>
      <c r="D133" s="195" t="s">
        <v>201</v>
      </c>
      <c r="E133" s="195" t="s">
        <v>202</v>
      </c>
      <c r="F133" s="195" t="s">
        <v>203</v>
      </c>
      <c r="G133" s="181" t="s">
        <v>204</v>
      </c>
      <c r="H133" s="195" t="s">
        <v>205</v>
      </c>
    </row>
    <row r="134" spans="1:8" ht="15.6" x14ac:dyDescent="0.25">
      <c r="A134" s="195"/>
      <c r="B134" s="401" t="s">
        <v>279</v>
      </c>
      <c r="C134" s="402"/>
      <c r="D134" s="402"/>
      <c r="E134" s="402"/>
      <c r="F134" s="402"/>
      <c r="G134" s="402"/>
      <c r="H134" s="403"/>
    </row>
    <row r="135" spans="1:8" ht="15.6" x14ac:dyDescent="0.25">
      <c r="A135" s="195"/>
      <c r="B135" s="384" t="s">
        <v>273</v>
      </c>
      <c r="C135" s="385">
        <v>1</v>
      </c>
      <c r="D135" s="384" t="s">
        <v>221</v>
      </c>
      <c r="E135" s="198">
        <f>+F22</f>
        <v>2537.16</v>
      </c>
      <c r="F135" s="198">
        <f>+G22</f>
        <v>456.69000000000005</v>
      </c>
      <c r="G135" s="386">
        <f>+E135+F135</f>
        <v>2993.85</v>
      </c>
      <c r="H135" s="387">
        <f>+G135*C135</f>
        <v>2993.85</v>
      </c>
    </row>
    <row r="136" spans="1:8" ht="31.2" x14ac:dyDescent="0.25">
      <c r="A136" s="195"/>
      <c r="B136" s="404" t="s">
        <v>280</v>
      </c>
      <c r="C136" s="405">
        <v>1</v>
      </c>
      <c r="D136" s="406" t="s">
        <v>281</v>
      </c>
      <c r="E136" s="407">
        <f>130</f>
        <v>130</v>
      </c>
      <c r="F136" s="404">
        <f>+E136*0.18</f>
        <v>23.4</v>
      </c>
      <c r="G136" s="408">
        <f>+E136+F136</f>
        <v>153.4</v>
      </c>
      <c r="H136" s="408">
        <f>+C136*G136</f>
        <v>153.4</v>
      </c>
    </row>
    <row r="137" spans="1:8" ht="15.6" x14ac:dyDescent="0.3">
      <c r="A137" s="195"/>
      <c r="B137" s="409"/>
      <c r="C137" s="387"/>
      <c r="D137" s="386"/>
      <c r="E137" s="201"/>
      <c r="F137" s="201"/>
      <c r="G137" s="408"/>
      <c r="H137" s="201"/>
    </row>
    <row r="138" spans="1:8" ht="15.6" x14ac:dyDescent="0.25">
      <c r="A138" s="519"/>
      <c r="B138" s="519"/>
      <c r="C138" s="519"/>
      <c r="D138" s="519"/>
      <c r="E138" s="519"/>
      <c r="F138" s="389"/>
      <c r="G138" s="389" t="s">
        <v>269</v>
      </c>
      <c r="H138" s="390">
        <f>SUM(H135:H137)</f>
        <v>3147.25</v>
      </c>
    </row>
    <row r="139" spans="1:8" ht="15.6" x14ac:dyDescent="0.3">
      <c r="A139" s="410"/>
      <c r="B139" s="409"/>
      <c r="C139" s="409"/>
      <c r="D139" s="409"/>
      <c r="E139" s="409"/>
      <c r="F139" s="409"/>
      <c r="G139" s="192" t="s">
        <v>282</v>
      </c>
      <c r="H139" s="400">
        <f>+H138/17</f>
        <v>185.13235294117646</v>
      </c>
    </row>
    <row r="141" spans="1:8" ht="15.6" x14ac:dyDescent="0.25">
      <c r="A141" s="181">
        <v>1</v>
      </c>
      <c r="B141" s="391" t="s">
        <v>283</v>
      </c>
    </row>
    <row r="142" spans="1:8" ht="31.2" x14ac:dyDescent="0.25">
      <c r="A142" s="195" t="s">
        <v>198</v>
      </c>
      <c r="B142" s="195" t="s">
        <v>199</v>
      </c>
      <c r="C142" s="195" t="s">
        <v>200</v>
      </c>
      <c r="D142" s="195" t="s">
        <v>201</v>
      </c>
      <c r="E142" s="195" t="s">
        <v>202</v>
      </c>
      <c r="F142" s="195" t="s">
        <v>203</v>
      </c>
      <c r="G142" s="181" t="s">
        <v>204</v>
      </c>
      <c r="H142" s="195" t="s">
        <v>205</v>
      </c>
    </row>
    <row r="143" spans="1:8" ht="15.6" x14ac:dyDescent="0.25">
      <c r="A143" s="195"/>
      <c r="B143" s="521" t="s">
        <v>272</v>
      </c>
      <c r="C143" s="522"/>
      <c r="D143" s="522"/>
      <c r="E143" s="522"/>
      <c r="F143" s="522"/>
      <c r="G143" s="522"/>
      <c r="H143" s="523"/>
    </row>
    <row r="144" spans="1:8" ht="15.6" x14ac:dyDescent="0.3">
      <c r="A144" s="195"/>
      <c r="B144" s="411" t="s">
        <v>273</v>
      </c>
      <c r="C144" s="412">
        <v>1</v>
      </c>
      <c r="D144" s="411" t="s">
        <v>221</v>
      </c>
      <c r="E144" s="392">
        <f>+D28-E145</f>
        <v>1472.03</v>
      </c>
      <c r="F144" s="392">
        <f>+E28-F145</f>
        <v>327.97</v>
      </c>
      <c r="G144" s="200">
        <f>+E144+F144</f>
        <v>1800</v>
      </c>
      <c r="H144" s="201">
        <f>+G144*C144</f>
        <v>1800</v>
      </c>
    </row>
    <row r="145" spans="1:9" ht="15.6" x14ac:dyDescent="0.3">
      <c r="A145" s="195"/>
      <c r="B145" s="411" t="s">
        <v>274</v>
      </c>
      <c r="C145" s="412">
        <v>1</v>
      </c>
      <c r="D145" s="411" t="s">
        <v>221</v>
      </c>
      <c r="E145" s="201">
        <v>350</v>
      </c>
      <c r="F145" s="200"/>
      <c r="G145" s="200"/>
      <c r="H145" s="201">
        <f>+C145*E145</f>
        <v>350</v>
      </c>
    </row>
    <row r="146" spans="1:9" ht="15.6" x14ac:dyDescent="0.3">
      <c r="A146" s="195"/>
      <c r="B146" s="411" t="s">
        <v>275</v>
      </c>
      <c r="C146" s="412">
        <v>4</v>
      </c>
      <c r="D146" s="392" t="s">
        <v>229</v>
      </c>
      <c r="E146" s="392">
        <f>+D29</f>
        <v>204.32203389830508</v>
      </c>
      <c r="F146" s="200">
        <f>+E146*0.18</f>
        <v>36.777966101694915</v>
      </c>
      <c r="G146" s="200">
        <f>+E146+F146</f>
        <v>241.1</v>
      </c>
      <c r="H146" s="201">
        <f>+G146*C146</f>
        <v>964.4</v>
      </c>
    </row>
    <row r="147" spans="1:9" ht="15.6" x14ac:dyDescent="0.3">
      <c r="A147" s="195"/>
      <c r="B147" s="411" t="s">
        <v>265</v>
      </c>
      <c r="C147" s="413">
        <v>1</v>
      </c>
      <c r="D147" s="392" t="s">
        <v>221</v>
      </c>
      <c r="E147" s="392">
        <f>op_1era/8</f>
        <v>237.31125</v>
      </c>
      <c r="F147" s="200"/>
      <c r="G147" s="200"/>
      <c r="H147" s="201">
        <f>+C147+E147</f>
        <v>238.31125</v>
      </c>
    </row>
    <row r="148" spans="1:9" ht="15.6" x14ac:dyDescent="0.3">
      <c r="A148" s="195"/>
      <c r="B148" s="411" t="s">
        <v>266</v>
      </c>
      <c r="C148" s="413">
        <v>2</v>
      </c>
      <c r="D148" s="392" t="s">
        <v>221</v>
      </c>
      <c r="E148" s="392">
        <f>ayu/8</f>
        <v>128.10874999999999</v>
      </c>
      <c r="F148" s="200"/>
      <c r="G148" s="200"/>
      <c r="H148" s="201">
        <f>+C148+E148</f>
        <v>130.10874999999999</v>
      </c>
    </row>
    <row r="149" spans="1:9" ht="15.6" x14ac:dyDescent="0.3">
      <c r="A149" s="195"/>
      <c r="B149" s="414" t="s">
        <v>276</v>
      </c>
      <c r="C149" s="413">
        <v>20</v>
      </c>
      <c r="D149" s="414" t="s">
        <v>268</v>
      </c>
      <c r="E149" s="200"/>
      <c r="F149" s="200"/>
      <c r="G149" s="200"/>
      <c r="H149" s="201"/>
    </row>
    <row r="150" spans="1:9" ht="15.6" x14ac:dyDescent="0.25">
      <c r="A150" s="195"/>
      <c r="B150" s="393"/>
      <c r="C150" s="394"/>
      <c r="D150" s="395"/>
      <c r="E150" s="396"/>
      <c r="F150" s="396"/>
      <c r="G150" s="396"/>
      <c r="H150" s="397"/>
    </row>
    <row r="151" spans="1:9" ht="15.6" x14ac:dyDescent="0.25">
      <c r="A151" s="524"/>
      <c r="B151" s="524"/>
      <c r="C151" s="524"/>
      <c r="D151" s="524"/>
      <c r="E151" s="524"/>
      <c r="F151" s="398"/>
      <c r="G151" s="398" t="s">
        <v>219</v>
      </c>
      <c r="H151" s="399">
        <f>SUM(H144:H150)</f>
        <v>3482.82</v>
      </c>
    </row>
    <row r="152" spans="1:9" ht="15.6" x14ac:dyDescent="0.25">
      <c r="A152" s="367"/>
      <c r="B152" s="367"/>
      <c r="C152" s="367"/>
      <c r="D152" s="367"/>
      <c r="E152" s="367"/>
      <c r="F152" s="367"/>
      <c r="G152" s="192" t="s">
        <v>277</v>
      </c>
      <c r="H152" s="400">
        <f>+H151/C149</f>
        <v>174.14100000000002</v>
      </c>
      <c r="I152" s="478"/>
    </row>
    <row r="153" spans="1:9" ht="15.6" x14ac:dyDescent="0.25">
      <c r="A153" s="367"/>
      <c r="B153" s="367"/>
      <c r="C153" s="367"/>
      <c r="D153" s="367"/>
      <c r="E153" s="367"/>
      <c r="F153" s="367"/>
      <c r="G153" s="367"/>
      <c r="H153" s="367"/>
      <c r="I153" s="479"/>
    </row>
    <row r="154" spans="1:9" x14ac:dyDescent="0.25">
      <c r="A154" s="331" t="s">
        <v>213</v>
      </c>
      <c r="B154" s="332" t="s">
        <v>214</v>
      </c>
      <c r="C154" s="332" t="s">
        <v>215</v>
      </c>
      <c r="D154" s="332" t="s">
        <v>216</v>
      </c>
      <c r="E154" s="332" t="s">
        <v>203</v>
      </c>
      <c r="F154" s="332" t="s">
        <v>217</v>
      </c>
      <c r="G154" s="332" t="s">
        <v>218</v>
      </c>
      <c r="H154" s="332" t="s">
        <v>219</v>
      </c>
    </row>
    <row r="155" spans="1:9" ht="34.200000000000003" x14ac:dyDescent="0.25">
      <c r="A155" s="333" t="s">
        <v>284</v>
      </c>
      <c r="B155" s="334">
        <v>1</v>
      </c>
      <c r="C155" s="335" t="s">
        <v>285</v>
      </c>
      <c r="D155" s="336"/>
      <c r="E155" s="336"/>
      <c r="F155" s="336">
        <f>+F163/B157</f>
        <v>413.30285714285714</v>
      </c>
      <c r="G155" s="336">
        <f>+G163/B157</f>
        <v>53.39</v>
      </c>
      <c r="H155" s="417">
        <f>+H163/B157</f>
        <v>466.69285714285712</v>
      </c>
    </row>
    <row r="156" spans="1:9" ht="22.8" x14ac:dyDescent="0.25">
      <c r="A156" s="338" t="s">
        <v>286</v>
      </c>
      <c r="B156" s="339"/>
      <c r="C156" s="340"/>
      <c r="D156" s="341"/>
      <c r="E156" s="341"/>
      <c r="F156" s="341"/>
      <c r="G156" s="341"/>
      <c r="H156" s="342"/>
    </row>
    <row r="157" spans="1:9" x14ac:dyDescent="0.25">
      <c r="A157" s="343" t="s">
        <v>287</v>
      </c>
      <c r="B157" s="344">
        <f>700*2</f>
        <v>1400</v>
      </c>
      <c r="C157" s="345" t="s">
        <v>285</v>
      </c>
      <c r="D157" s="341"/>
      <c r="E157" s="341"/>
      <c r="F157" s="341"/>
      <c r="G157" s="341"/>
      <c r="H157" s="342"/>
    </row>
    <row r="158" spans="1:9" x14ac:dyDescent="0.25">
      <c r="A158" s="343" t="s">
        <v>224</v>
      </c>
      <c r="B158" s="344"/>
      <c r="C158" s="345"/>
      <c r="D158" s="341"/>
      <c r="E158" s="341"/>
      <c r="F158" s="341"/>
      <c r="G158" s="341"/>
      <c r="H158" s="342"/>
    </row>
    <row r="159" spans="1:9" ht="22.8" x14ac:dyDescent="0.25">
      <c r="A159" s="338" t="s">
        <v>288</v>
      </c>
      <c r="B159" s="481">
        <v>10</v>
      </c>
      <c r="C159" s="346" t="s">
        <v>289</v>
      </c>
      <c r="D159" s="341"/>
      <c r="E159" s="341"/>
      <c r="F159" s="341"/>
      <c r="G159" s="341"/>
      <c r="H159" s="342"/>
    </row>
    <row r="160" spans="1:9" x14ac:dyDescent="0.25">
      <c r="A160" s="343" t="s">
        <v>227</v>
      </c>
      <c r="B160" s="344"/>
      <c r="C160" s="345"/>
      <c r="D160" s="347"/>
      <c r="E160" s="347"/>
      <c r="F160" s="347"/>
      <c r="G160" s="347"/>
      <c r="H160" s="347"/>
    </row>
    <row r="161" spans="1:10" ht="22.8" x14ac:dyDescent="0.25">
      <c r="A161" s="338" t="s">
        <v>290</v>
      </c>
      <c r="B161" s="344">
        <f>ROUND((B157/B159),4)</f>
        <v>140</v>
      </c>
      <c r="C161" s="345" t="s">
        <v>221</v>
      </c>
      <c r="D161" s="347">
        <v>3961.6</v>
      </c>
      <c r="E161" s="347">
        <v>533.9</v>
      </c>
      <c r="F161" s="347">
        <f>ROUND((B161*(D161)),2)</f>
        <v>554624</v>
      </c>
      <c r="G161" s="347">
        <f>ROUND((B161*(E161)),2)</f>
        <v>74746</v>
      </c>
      <c r="H161" s="347"/>
    </row>
    <row r="162" spans="1:10" x14ac:dyDescent="0.25">
      <c r="A162" s="338" t="s">
        <v>291</v>
      </c>
      <c r="B162" s="344">
        <f>0.8*2</f>
        <v>1.6</v>
      </c>
      <c r="C162" s="345" t="s">
        <v>215</v>
      </c>
      <c r="D162" s="347">
        <v>15000</v>
      </c>
      <c r="E162" s="347">
        <v>0</v>
      </c>
      <c r="F162" s="347">
        <f>ROUND((B162*(D162)),2)</f>
        <v>24000</v>
      </c>
      <c r="G162" s="347">
        <f>ROUND((B162*(E162)),2)</f>
        <v>0</v>
      </c>
      <c r="H162" s="347"/>
    </row>
    <row r="163" spans="1:10" x14ac:dyDescent="0.25">
      <c r="A163" s="338" t="s">
        <v>230</v>
      </c>
      <c r="B163" s="344"/>
      <c r="C163" s="345"/>
      <c r="D163" s="347"/>
      <c r="E163" s="347"/>
      <c r="F163" s="347">
        <f>SUM(F161:F162)</f>
        <v>578624</v>
      </c>
      <c r="G163" s="347">
        <f>SUM(G161:G162)</f>
        <v>74746</v>
      </c>
      <c r="H163" s="347">
        <f>SUM(F163:G163)</f>
        <v>653370</v>
      </c>
    </row>
    <row r="165" spans="1:10" ht="15.6" x14ac:dyDescent="0.25">
      <c r="A165" s="181">
        <v>1</v>
      </c>
      <c r="B165" s="391" t="s">
        <v>56</v>
      </c>
    </row>
    <row r="166" spans="1:10" ht="31.2" x14ac:dyDescent="0.25">
      <c r="A166" s="195" t="s">
        <v>198</v>
      </c>
      <c r="B166" s="195" t="s">
        <v>199</v>
      </c>
      <c r="C166" s="195" t="s">
        <v>200</v>
      </c>
      <c r="D166" s="195" t="s">
        <v>201</v>
      </c>
      <c r="E166" s="195" t="s">
        <v>202</v>
      </c>
      <c r="F166" s="195" t="s">
        <v>203</v>
      </c>
      <c r="G166" s="181" t="s">
        <v>204</v>
      </c>
      <c r="H166" s="195" t="s">
        <v>205</v>
      </c>
    </row>
    <row r="167" spans="1:10" ht="15.6" x14ac:dyDescent="0.25">
      <c r="A167" s="195"/>
      <c r="B167" s="401" t="s">
        <v>279</v>
      </c>
      <c r="C167" s="402"/>
      <c r="D167" s="402"/>
      <c r="E167" s="402"/>
      <c r="F167" s="402"/>
      <c r="G167" s="402"/>
      <c r="H167" s="403"/>
    </row>
    <row r="168" spans="1:10" ht="31.2" x14ac:dyDescent="0.25">
      <c r="A168" s="195"/>
      <c r="B168" s="414" t="s">
        <v>415</v>
      </c>
      <c r="C168" s="405">
        <v>1.08</v>
      </c>
      <c r="D168" s="406" t="s">
        <v>164</v>
      </c>
      <c r="E168" s="418">
        <f>1225+13.3866917765222</f>
        <v>1238.3866917765222</v>
      </c>
      <c r="F168" s="404">
        <f>+E168*0.18</f>
        <v>222.90960451977398</v>
      </c>
      <c r="G168" s="408">
        <f>+E168+F168</f>
        <v>1461.2962962962961</v>
      </c>
      <c r="H168" s="408">
        <f>+C168*G168</f>
        <v>1578.1999999999998</v>
      </c>
    </row>
    <row r="169" spans="1:10" ht="15.6" x14ac:dyDescent="0.25">
      <c r="A169" s="519"/>
      <c r="B169" s="519"/>
      <c r="C169" s="519"/>
      <c r="D169" s="519"/>
      <c r="E169" s="519"/>
      <c r="F169" s="389"/>
      <c r="G169" s="389" t="s">
        <v>269</v>
      </c>
      <c r="H169" s="390">
        <f>SUM(H168:H168)</f>
        <v>1578.1999999999998</v>
      </c>
    </row>
    <row r="170" spans="1:10" ht="15.6" x14ac:dyDescent="0.3">
      <c r="A170" s="410"/>
      <c r="B170" s="409"/>
      <c r="C170" s="409"/>
      <c r="D170" s="409"/>
      <c r="E170" s="409"/>
      <c r="F170" s="409"/>
      <c r="G170" s="192" t="s">
        <v>282</v>
      </c>
      <c r="H170" s="400">
        <f>+H169</f>
        <v>1578.1999999999998</v>
      </c>
      <c r="I170" s="478"/>
    </row>
    <row r="171" spans="1:10" x14ac:dyDescent="0.25">
      <c r="J171" s="478"/>
    </row>
    <row r="173" spans="1:10" ht="15.6" x14ac:dyDescent="0.25">
      <c r="A173" s="181">
        <v>1</v>
      </c>
      <c r="B173" s="512" t="s">
        <v>293</v>
      </c>
      <c r="C173" s="513"/>
      <c r="D173" s="513"/>
    </row>
    <row r="174" spans="1:10" ht="31.2" x14ac:dyDescent="0.25">
      <c r="A174" s="195" t="s">
        <v>198</v>
      </c>
      <c r="B174" s="195" t="s">
        <v>199</v>
      </c>
      <c r="C174" s="195" t="s">
        <v>200</v>
      </c>
      <c r="D174" s="195" t="s">
        <v>201</v>
      </c>
      <c r="E174" s="195" t="s">
        <v>202</v>
      </c>
      <c r="F174" s="195" t="s">
        <v>203</v>
      </c>
      <c r="G174" s="181" t="s">
        <v>204</v>
      </c>
      <c r="H174" s="195" t="s">
        <v>205</v>
      </c>
    </row>
    <row r="175" spans="1:10" ht="15.6" x14ac:dyDescent="0.25">
      <c r="A175" s="195"/>
      <c r="B175" s="401" t="s">
        <v>279</v>
      </c>
      <c r="C175" s="402"/>
      <c r="D175" s="402"/>
      <c r="E175" s="402"/>
      <c r="F175" s="402"/>
      <c r="G175" s="402"/>
      <c r="H175" s="403"/>
    </row>
    <row r="176" spans="1:10" ht="31.2" x14ac:dyDescent="0.25">
      <c r="A176" s="195"/>
      <c r="B176" s="386" t="s">
        <v>294</v>
      </c>
      <c r="C176" s="405">
        <v>1</v>
      </c>
      <c r="D176" s="406" t="s">
        <v>164</v>
      </c>
      <c r="E176" s="407">
        <f>365+73.5593250847458</f>
        <v>438.55932508474581</v>
      </c>
      <c r="F176" s="404">
        <f>+E176*0.18</f>
        <v>78.940678515254248</v>
      </c>
      <c r="G176" s="408">
        <f>+E176+F176</f>
        <v>517.50000360000001</v>
      </c>
      <c r="H176" s="408">
        <f>+C176*G176</f>
        <v>517.50000360000001</v>
      </c>
    </row>
    <row r="177" spans="1:8" ht="31.2" x14ac:dyDescent="0.25">
      <c r="A177" s="195"/>
      <c r="B177" s="404" t="s">
        <v>295</v>
      </c>
      <c r="C177" s="405">
        <v>1</v>
      </c>
      <c r="D177" s="406" t="s">
        <v>281</v>
      </c>
      <c r="E177" s="407">
        <f>130</f>
        <v>130</v>
      </c>
      <c r="F177" s="404">
        <f>+E177*0.18</f>
        <v>23.4</v>
      </c>
      <c r="G177" s="408">
        <f>+E177+F177</f>
        <v>153.4</v>
      </c>
      <c r="H177" s="408">
        <f>+C177*G177</f>
        <v>153.4</v>
      </c>
    </row>
    <row r="178" spans="1:8" ht="15.6" x14ac:dyDescent="0.25">
      <c r="A178" s="195"/>
      <c r="B178" s="419" t="s">
        <v>228</v>
      </c>
      <c r="C178" s="387">
        <v>1</v>
      </c>
      <c r="D178" s="386" t="s">
        <v>296</v>
      </c>
      <c r="E178" s="387">
        <f>2236.65/50</f>
        <v>44.733000000000004</v>
      </c>
      <c r="F178" s="387">
        <f>+E178*0.18</f>
        <v>8.0519400000000001</v>
      </c>
      <c r="G178" s="408">
        <f>+E178+F178</f>
        <v>52.784940000000006</v>
      </c>
      <c r="H178" s="387">
        <f>+G178*C178</f>
        <v>52.784940000000006</v>
      </c>
    </row>
    <row r="179" spans="1:8" ht="15.6" x14ac:dyDescent="0.25">
      <c r="A179" s="519"/>
      <c r="B179" s="519"/>
      <c r="C179" s="519"/>
      <c r="D179" s="519"/>
      <c r="E179" s="519"/>
      <c r="F179" s="389"/>
      <c r="G179" s="389" t="s">
        <v>269</v>
      </c>
      <c r="H179" s="389">
        <f>SUM(H176:H178)</f>
        <v>723.6849436</v>
      </c>
    </row>
    <row r="180" spans="1:8" ht="15.6" x14ac:dyDescent="0.3">
      <c r="A180" s="410"/>
      <c r="B180" s="409"/>
      <c r="C180" s="409"/>
      <c r="D180" s="409"/>
      <c r="E180" s="409"/>
      <c r="F180" s="409"/>
      <c r="G180" s="192" t="s">
        <v>282</v>
      </c>
      <c r="H180" s="400">
        <f>+H179</f>
        <v>723.6849436</v>
      </c>
    </row>
    <row r="182" spans="1:8" ht="15.6" x14ac:dyDescent="0.25">
      <c r="A182" s="181">
        <v>1</v>
      </c>
      <c r="B182" s="391" t="s">
        <v>17</v>
      </c>
    </row>
    <row r="183" spans="1:8" ht="31.2" x14ac:dyDescent="0.25">
      <c r="A183" s="195" t="s">
        <v>198</v>
      </c>
      <c r="B183" s="195" t="s">
        <v>199</v>
      </c>
      <c r="C183" s="195" t="s">
        <v>200</v>
      </c>
      <c r="D183" s="195" t="s">
        <v>201</v>
      </c>
      <c r="E183" s="195" t="s">
        <v>202</v>
      </c>
      <c r="F183" s="195" t="s">
        <v>203</v>
      </c>
      <c r="G183" s="181" t="s">
        <v>204</v>
      </c>
      <c r="H183" s="195" t="s">
        <v>205</v>
      </c>
    </row>
    <row r="184" spans="1:8" ht="15.6" x14ac:dyDescent="0.25">
      <c r="A184" s="195"/>
      <c r="B184" s="521" t="s">
        <v>272</v>
      </c>
      <c r="C184" s="522"/>
      <c r="D184" s="522"/>
      <c r="E184" s="522"/>
      <c r="F184" s="522"/>
      <c r="G184" s="522"/>
      <c r="H184" s="523"/>
    </row>
    <row r="185" spans="1:8" ht="15.6" x14ac:dyDescent="0.25">
      <c r="A185" s="195"/>
      <c r="B185" s="393" t="s">
        <v>297</v>
      </c>
      <c r="C185" s="420">
        <f>15.22/25</f>
        <v>0.60880000000000001</v>
      </c>
      <c r="D185" s="395" t="s">
        <v>298</v>
      </c>
      <c r="E185" s="396">
        <v>25.5</v>
      </c>
      <c r="F185" s="396">
        <f>+E185*0.18</f>
        <v>4.59</v>
      </c>
      <c r="G185" s="396">
        <f>+E185+F185</f>
        <v>30.09</v>
      </c>
      <c r="H185" s="396">
        <f>+G185*C185</f>
        <v>18.318791999999998</v>
      </c>
    </row>
    <row r="186" spans="1:8" ht="15.6" x14ac:dyDescent="0.25">
      <c r="A186" s="195"/>
      <c r="B186" s="393" t="s">
        <v>299</v>
      </c>
      <c r="C186" s="420">
        <v>30</v>
      </c>
      <c r="D186" s="395" t="s">
        <v>300</v>
      </c>
      <c r="E186" s="396">
        <v>0</v>
      </c>
      <c r="F186" s="396">
        <f>+E186*0.18</f>
        <v>0</v>
      </c>
      <c r="G186" s="396">
        <f>+E186+F186</f>
        <v>0</v>
      </c>
      <c r="H186" s="396">
        <f>+G186*C186</f>
        <v>0</v>
      </c>
    </row>
    <row r="187" spans="1:8" ht="15.6" x14ac:dyDescent="0.25">
      <c r="A187" s="195"/>
      <c r="B187" s="421" t="s">
        <v>301</v>
      </c>
      <c r="C187" s="422"/>
      <c r="D187" s="422"/>
      <c r="E187" s="422"/>
      <c r="F187" s="422"/>
      <c r="G187" s="422"/>
      <c r="H187" s="422"/>
    </row>
    <row r="188" spans="1:8" ht="15.6" x14ac:dyDescent="0.25">
      <c r="A188" s="195"/>
      <c r="B188" s="393" t="s">
        <v>302</v>
      </c>
      <c r="C188" s="420">
        <f>3/8</f>
        <v>0.375</v>
      </c>
      <c r="D188" s="395" t="s">
        <v>244</v>
      </c>
      <c r="E188" s="396">
        <v>700</v>
      </c>
      <c r="F188" s="396"/>
      <c r="G188" s="396"/>
      <c r="H188" s="396">
        <f>+C188*E188</f>
        <v>262.5</v>
      </c>
    </row>
    <row r="189" spans="1:8" ht="15.6" x14ac:dyDescent="0.25">
      <c r="A189" s="195"/>
      <c r="B189" s="393" t="s">
        <v>265</v>
      </c>
      <c r="C189" s="423">
        <f>1/8</f>
        <v>0.125</v>
      </c>
      <c r="D189" s="395" t="s">
        <v>244</v>
      </c>
      <c r="E189" s="396">
        <v>1600</v>
      </c>
      <c r="F189" s="396"/>
      <c r="G189" s="396"/>
      <c r="H189" s="396">
        <f>+C189*E189</f>
        <v>200</v>
      </c>
    </row>
    <row r="190" spans="1:8" ht="15.6" x14ac:dyDescent="0.25">
      <c r="A190" s="195"/>
      <c r="B190" s="424" t="s">
        <v>279</v>
      </c>
      <c r="C190" s="425"/>
      <c r="D190" s="425"/>
      <c r="E190" s="425"/>
      <c r="F190" s="425"/>
      <c r="G190" s="425"/>
      <c r="H190" s="426"/>
    </row>
    <row r="191" spans="1:8" ht="15.6" x14ac:dyDescent="0.25">
      <c r="A191" s="195"/>
      <c r="B191" s="393" t="s">
        <v>303</v>
      </c>
      <c r="C191" s="427">
        <v>1</v>
      </c>
      <c r="D191" s="395" t="s">
        <v>304</v>
      </c>
      <c r="E191" s="396">
        <v>1600</v>
      </c>
      <c r="F191" s="396">
        <f>+E191*0.18</f>
        <v>288</v>
      </c>
      <c r="G191" s="396">
        <f>+E191+F191</f>
        <v>1888</v>
      </c>
      <c r="H191" s="397">
        <f>+G191*C191</f>
        <v>1888</v>
      </c>
    </row>
    <row r="192" spans="1:8" ht="15.6" x14ac:dyDescent="0.25">
      <c r="A192" s="195"/>
      <c r="B192" s="393" t="s">
        <v>305</v>
      </c>
      <c r="C192" s="427">
        <v>1</v>
      </c>
      <c r="D192" s="395" t="s">
        <v>304</v>
      </c>
      <c r="E192" s="396">
        <v>2000</v>
      </c>
      <c r="F192" s="396">
        <f>+E192*0.18</f>
        <v>360</v>
      </c>
      <c r="G192" s="396">
        <f>+E192+F192</f>
        <v>2360</v>
      </c>
      <c r="H192" s="397">
        <f>1350*C192%</f>
        <v>13.5</v>
      </c>
    </row>
    <row r="193" spans="1:8" ht="15.6" x14ac:dyDescent="0.25">
      <c r="A193" s="195"/>
      <c r="B193" s="424" t="s">
        <v>306</v>
      </c>
      <c r="C193" s="425"/>
      <c r="D193" s="425"/>
      <c r="E193" s="425"/>
      <c r="F193" s="425"/>
      <c r="G193" s="425"/>
      <c r="H193" s="426"/>
    </row>
    <row r="194" spans="1:8" ht="15.6" x14ac:dyDescent="0.25">
      <c r="A194" s="195"/>
      <c r="B194" s="393" t="s">
        <v>307</v>
      </c>
      <c r="C194" s="427">
        <v>10</v>
      </c>
      <c r="D194" s="395" t="s">
        <v>308</v>
      </c>
      <c r="E194" s="396">
        <v>240</v>
      </c>
      <c r="F194" s="396">
        <f>+E194*0.18</f>
        <v>43.199999999999996</v>
      </c>
      <c r="G194" s="396">
        <f>+E194+F194</f>
        <v>283.2</v>
      </c>
      <c r="H194" s="397">
        <f>+G194*C194</f>
        <v>2832</v>
      </c>
    </row>
    <row r="195" spans="1:8" ht="15.6" x14ac:dyDescent="0.25">
      <c r="A195" s="195"/>
      <c r="B195" s="393" t="s">
        <v>309</v>
      </c>
      <c r="C195" s="394">
        <v>0.2</v>
      </c>
      <c r="D195" s="395" t="s">
        <v>310</v>
      </c>
      <c r="E195" s="396">
        <f>G195-F195</f>
        <v>48</v>
      </c>
      <c r="F195" s="396">
        <f>((G195)-(G195/1.18))</f>
        <v>8.64</v>
      </c>
      <c r="G195" s="396">
        <f>G194*C195</f>
        <v>56.64</v>
      </c>
      <c r="H195" s="397">
        <f>G195/32</f>
        <v>1.77</v>
      </c>
    </row>
    <row r="196" spans="1:8" ht="15.6" x14ac:dyDescent="0.25">
      <c r="A196" s="524" t="s">
        <v>311</v>
      </c>
      <c r="B196" s="524"/>
      <c r="C196" s="524"/>
      <c r="D196" s="524"/>
      <c r="E196" s="524"/>
      <c r="F196" s="398"/>
      <c r="G196" s="398" t="s">
        <v>219</v>
      </c>
      <c r="H196" s="399">
        <f>SUM(H185:H195)</f>
        <v>5216.0887920000005</v>
      </c>
    </row>
    <row r="197" spans="1:8" ht="15.6" x14ac:dyDescent="0.25">
      <c r="A197" s="367"/>
      <c r="B197" s="367"/>
      <c r="C197" s="367"/>
      <c r="D197" s="367"/>
      <c r="E197" s="367"/>
      <c r="F197" s="367"/>
      <c r="G197" s="192" t="s">
        <v>277</v>
      </c>
      <c r="H197" s="400">
        <f>H196/C186*1.3</f>
        <v>226.03051432000004</v>
      </c>
    </row>
    <row r="200" spans="1:8" ht="15.6" x14ac:dyDescent="0.25">
      <c r="A200" s="181">
        <v>1</v>
      </c>
      <c r="B200" s="391" t="s">
        <v>312</v>
      </c>
    </row>
    <row r="201" spans="1:8" ht="31.2" x14ac:dyDescent="0.25">
      <c r="A201" s="195" t="s">
        <v>198</v>
      </c>
      <c r="B201" s="195" t="s">
        <v>199</v>
      </c>
      <c r="C201" s="195" t="s">
        <v>200</v>
      </c>
      <c r="D201" s="195" t="s">
        <v>201</v>
      </c>
      <c r="E201" s="195" t="s">
        <v>202</v>
      </c>
      <c r="F201" s="195" t="s">
        <v>203</v>
      </c>
      <c r="G201" s="181" t="s">
        <v>204</v>
      </c>
      <c r="H201" s="195" t="s">
        <v>205</v>
      </c>
    </row>
    <row r="202" spans="1:8" ht="15.6" x14ac:dyDescent="0.25">
      <c r="A202" s="195"/>
      <c r="B202" s="401" t="s">
        <v>279</v>
      </c>
      <c r="C202" s="402"/>
      <c r="D202" s="402"/>
      <c r="E202" s="402"/>
      <c r="F202" s="402"/>
      <c r="G202" s="402"/>
      <c r="H202" s="403"/>
    </row>
    <row r="203" spans="1:8" ht="31.2" x14ac:dyDescent="0.3">
      <c r="A203" s="195"/>
      <c r="B203" s="414" t="s">
        <v>313</v>
      </c>
      <c r="C203" s="428">
        <v>1</v>
      </c>
      <c r="D203" s="429" t="s">
        <v>296</v>
      </c>
      <c r="E203" s="430">
        <f>3124.14/50</f>
        <v>62.482799999999997</v>
      </c>
      <c r="F203" s="404">
        <f>+E203*0.18</f>
        <v>11.246903999999999</v>
      </c>
      <c r="G203" s="408">
        <f>+E203+F203</f>
        <v>73.729703999999998</v>
      </c>
      <c r="H203" s="408">
        <f>+C203*G203</f>
        <v>73.729703999999998</v>
      </c>
    </row>
    <row r="204" spans="1:8" ht="31.2" x14ac:dyDescent="0.3">
      <c r="A204" s="195"/>
      <c r="B204" s="431" t="s">
        <v>280</v>
      </c>
      <c r="C204" s="428">
        <v>1</v>
      </c>
      <c r="D204" s="429" t="s">
        <v>281</v>
      </c>
      <c r="E204" s="430">
        <f>+E136</f>
        <v>130</v>
      </c>
      <c r="F204" s="404">
        <f>+E204*0.18</f>
        <v>23.4</v>
      </c>
      <c r="G204" s="408">
        <f>+E204+F204</f>
        <v>153.4</v>
      </c>
      <c r="H204" s="408">
        <f>+C204*G204</f>
        <v>153.4</v>
      </c>
    </row>
    <row r="205" spans="1:8" ht="15.6" x14ac:dyDescent="0.3">
      <c r="A205" s="195"/>
      <c r="B205" s="409" t="s">
        <v>228</v>
      </c>
      <c r="C205" s="387">
        <v>1</v>
      </c>
      <c r="D205" s="386" t="s">
        <v>296</v>
      </c>
      <c r="E205" s="201">
        <f>2236.65/50</f>
        <v>44.733000000000004</v>
      </c>
      <c r="F205" s="201">
        <f>+E205*0.18</f>
        <v>8.0519400000000001</v>
      </c>
      <c r="G205" s="408">
        <f>+E205+F205</f>
        <v>52.784940000000006</v>
      </c>
      <c r="H205" s="201">
        <f>+G205*C205</f>
        <v>52.784940000000006</v>
      </c>
    </row>
    <row r="206" spans="1:8" ht="15.6" x14ac:dyDescent="0.25">
      <c r="A206" s="519"/>
      <c r="B206" s="519"/>
      <c r="C206" s="519"/>
      <c r="D206" s="519"/>
      <c r="E206" s="519"/>
      <c r="F206" s="389"/>
      <c r="G206" s="389" t="s">
        <v>269</v>
      </c>
      <c r="H206" s="390">
        <f>SUM(H203:H205)</f>
        <v>279.91464400000001</v>
      </c>
    </row>
    <row r="207" spans="1:8" ht="15.6" x14ac:dyDescent="0.3">
      <c r="A207" s="410"/>
      <c r="B207" s="409"/>
      <c r="C207" s="409"/>
      <c r="D207" s="409"/>
      <c r="E207" s="409"/>
      <c r="F207" s="409"/>
      <c r="G207" s="192" t="s">
        <v>282</v>
      </c>
      <c r="H207" s="400">
        <f>+H206</f>
        <v>279.91464400000001</v>
      </c>
    </row>
    <row r="210" spans="1:8" ht="31.2" x14ac:dyDescent="0.25">
      <c r="A210" s="432" t="s">
        <v>314</v>
      </c>
      <c r="B210" s="432" t="s">
        <v>315</v>
      </c>
      <c r="C210" s="432"/>
      <c r="D210" s="432"/>
      <c r="E210" s="432"/>
      <c r="F210" s="432"/>
      <c r="G210" s="432"/>
      <c r="H210" s="432"/>
    </row>
    <row r="211" spans="1:8" ht="31.2" x14ac:dyDescent="0.25">
      <c r="A211" s="433" t="s">
        <v>198</v>
      </c>
      <c r="B211" s="433" t="s">
        <v>199</v>
      </c>
      <c r="C211" s="433" t="s">
        <v>200</v>
      </c>
      <c r="D211" s="433" t="s">
        <v>201</v>
      </c>
      <c r="E211" s="433" t="s">
        <v>202</v>
      </c>
      <c r="F211" s="433" t="s">
        <v>203</v>
      </c>
      <c r="G211" s="433" t="s">
        <v>204</v>
      </c>
      <c r="H211" s="433" t="s">
        <v>205</v>
      </c>
    </row>
    <row r="212" spans="1:8" ht="15.6" x14ac:dyDescent="0.25">
      <c r="A212" s="433">
        <v>1</v>
      </c>
      <c r="B212" s="434" t="s">
        <v>316</v>
      </c>
      <c r="C212" s="435">
        <v>1.03</v>
      </c>
      <c r="D212" s="436" t="s">
        <v>317</v>
      </c>
      <c r="E212" s="437">
        <f>19281/(19*2.54*12/100)</f>
        <v>3329.3617903025279</v>
      </c>
      <c r="F212" s="438">
        <f>+E212*0.18</f>
        <v>599.28512225445502</v>
      </c>
      <c r="G212" s="438">
        <f>+E212+F212</f>
        <v>3928.6469125569829</v>
      </c>
      <c r="H212" s="439">
        <f>+G212*C212</f>
        <v>4046.5063199336923</v>
      </c>
    </row>
    <row r="213" spans="1:8" ht="16.2" thickBot="1" x14ac:dyDescent="0.3">
      <c r="A213" s="433">
        <v>2</v>
      </c>
      <c r="B213" s="434" t="s">
        <v>318</v>
      </c>
      <c r="C213" s="435">
        <v>1</v>
      </c>
      <c r="D213" s="436" t="s">
        <v>24</v>
      </c>
      <c r="E213" s="437">
        <v>106.25</v>
      </c>
      <c r="F213" s="438"/>
      <c r="G213" s="438">
        <f>+E213+F213</f>
        <v>106.25</v>
      </c>
      <c r="H213" s="439">
        <f>+G213*C213</f>
        <v>106.25</v>
      </c>
    </row>
    <row r="214" spans="1:8" ht="16.2" thickBot="1" x14ac:dyDescent="0.3">
      <c r="A214" s="525"/>
      <c r="B214" s="525"/>
      <c r="C214" s="525"/>
      <c r="D214" s="525"/>
      <c r="E214" s="525"/>
      <c r="F214" s="440"/>
      <c r="G214" s="441" t="s">
        <v>246</v>
      </c>
      <c r="H214" s="442">
        <f>SUM(H212:H213)</f>
        <v>4152.7563199336928</v>
      </c>
    </row>
    <row r="216" spans="1:8" ht="15.6" x14ac:dyDescent="0.3">
      <c r="A216" s="443" t="s">
        <v>213</v>
      </c>
      <c r="B216" s="444" t="s">
        <v>215</v>
      </c>
      <c r="C216" s="444" t="s">
        <v>216</v>
      </c>
      <c r="D216" s="444" t="s">
        <v>319</v>
      </c>
      <c r="E216" s="444" t="s">
        <v>320</v>
      </c>
    </row>
    <row r="217" spans="1:8" ht="15" x14ac:dyDescent="0.25">
      <c r="A217" s="445" t="s">
        <v>321</v>
      </c>
      <c r="B217" s="446" t="s">
        <v>322</v>
      </c>
      <c r="C217" s="447">
        <v>75</v>
      </c>
      <c r="D217" s="448">
        <v>25.11</v>
      </c>
      <c r="E217" s="447">
        <v>0</v>
      </c>
    </row>
    <row r="219" spans="1:8" ht="31.2" x14ac:dyDescent="0.25">
      <c r="A219" s="432" t="s">
        <v>314</v>
      </c>
      <c r="B219" s="432" t="s">
        <v>323</v>
      </c>
      <c r="C219" s="432"/>
      <c r="D219" s="432"/>
      <c r="E219" s="432"/>
      <c r="F219" s="432"/>
      <c r="G219" s="432"/>
      <c r="H219" s="432"/>
    </row>
    <row r="220" spans="1:8" ht="31.2" x14ac:dyDescent="0.25">
      <c r="A220" s="433" t="s">
        <v>198</v>
      </c>
      <c r="B220" s="433" t="s">
        <v>199</v>
      </c>
      <c r="C220" s="433" t="s">
        <v>200</v>
      </c>
      <c r="D220" s="433" t="s">
        <v>201</v>
      </c>
      <c r="E220" s="433" t="s">
        <v>202</v>
      </c>
      <c r="F220" s="433" t="s">
        <v>203</v>
      </c>
      <c r="G220" s="433" t="s">
        <v>204</v>
      </c>
      <c r="H220" s="433" t="s">
        <v>205</v>
      </c>
    </row>
    <row r="221" spans="1:8" ht="15.6" x14ac:dyDescent="0.25">
      <c r="A221" s="433">
        <v>1</v>
      </c>
      <c r="B221" s="434" t="s">
        <v>324</v>
      </c>
      <c r="C221" s="435">
        <v>1.03</v>
      </c>
      <c r="D221" s="436" t="s">
        <v>317</v>
      </c>
      <c r="E221" s="437">
        <f>227.550759179015+1270.20306672192</f>
        <v>1497.753825900935</v>
      </c>
      <c r="F221" s="438">
        <f>+E221*0.18</f>
        <v>269.5956886621683</v>
      </c>
      <c r="G221" s="438">
        <f>+E221+F221</f>
        <v>1767.3495145631032</v>
      </c>
      <c r="H221" s="439">
        <f>+G221*C221</f>
        <v>1820.3699999999963</v>
      </c>
    </row>
    <row r="222" spans="1:8" ht="16.2" thickBot="1" x14ac:dyDescent="0.3">
      <c r="A222" s="433">
        <v>2</v>
      </c>
      <c r="B222" s="434" t="s">
        <v>318</v>
      </c>
      <c r="C222" s="435">
        <v>1</v>
      </c>
      <c r="D222" s="436" t="s">
        <v>24</v>
      </c>
      <c r="E222" s="437">
        <v>106.25</v>
      </c>
      <c r="F222" s="438"/>
      <c r="G222" s="438">
        <f>+E222+F222</f>
        <v>106.25</v>
      </c>
      <c r="H222" s="439">
        <f>+G222*C222</f>
        <v>106.25</v>
      </c>
    </row>
    <row r="223" spans="1:8" ht="16.2" thickBot="1" x14ac:dyDescent="0.3">
      <c r="A223" s="525"/>
      <c r="B223" s="525"/>
      <c r="C223" s="525"/>
      <c r="D223" s="525"/>
      <c r="E223" s="525"/>
      <c r="F223" s="440"/>
      <c r="G223" s="441" t="s">
        <v>246</v>
      </c>
      <c r="H223" s="442">
        <f>SUM(H221:H222)</f>
        <v>1926.6199999999963</v>
      </c>
    </row>
    <row r="225" spans="1:8" ht="15.6" x14ac:dyDescent="0.3">
      <c r="A225" s="443" t="s">
        <v>213</v>
      </c>
      <c r="B225" s="444" t="s">
        <v>215</v>
      </c>
      <c r="C225" s="444" t="s">
        <v>216</v>
      </c>
      <c r="D225" s="444" t="s">
        <v>319</v>
      </c>
      <c r="E225" s="444" t="s">
        <v>320</v>
      </c>
    </row>
    <row r="226" spans="1:8" ht="15" x14ac:dyDescent="0.25">
      <c r="A226" s="445" t="s">
        <v>325</v>
      </c>
      <c r="B226" s="446" t="s">
        <v>322</v>
      </c>
      <c r="C226" s="447">
        <v>70.61</v>
      </c>
      <c r="D226" s="448">
        <v>25.11</v>
      </c>
      <c r="E226" s="447">
        <v>0</v>
      </c>
    </row>
    <row r="228" spans="1:8" ht="31.2" x14ac:dyDescent="0.25">
      <c r="A228" s="432" t="s">
        <v>314</v>
      </c>
      <c r="B228" s="432" t="s">
        <v>326</v>
      </c>
      <c r="C228" s="432"/>
      <c r="D228" s="432"/>
      <c r="E228" s="432"/>
      <c r="F228" s="432"/>
      <c r="G228" s="432"/>
      <c r="H228" s="432"/>
    </row>
    <row r="229" spans="1:8" ht="31.2" x14ac:dyDescent="0.25">
      <c r="A229" s="433" t="s">
        <v>198</v>
      </c>
      <c r="B229" s="433" t="s">
        <v>199</v>
      </c>
      <c r="C229" s="433" t="s">
        <v>200</v>
      </c>
      <c r="D229" s="433" t="s">
        <v>201</v>
      </c>
      <c r="E229" s="433" t="s">
        <v>202</v>
      </c>
      <c r="F229" s="433" t="s">
        <v>203</v>
      </c>
      <c r="G229" s="433" t="s">
        <v>204</v>
      </c>
      <c r="H229" s="433" t="s">
        <v>205</v>
      </c>
    </row>
    <row r="230" spans="1:8" ht="15.6" x14ac:dyDescent="0.25">
      <c r="A230" s="433">
        <v>1</v>
      </c>
      <c r="B230" s="434" t="s">
        <v>327</v>
      </c>
      <c r="C230" s="435">
        <v>1</v>
      </c>
      <c r="D230" s="436" t="s">
        <v>317</v>
      </c>
      <c r="E230" s="437">
        <v>1100</v>
      </c>
      <c r="F230" s="438">
        <v>198</v>
      </c>
      <c r="G230" s="438">
        <f>+E230+F230</f>
        <v>1298</v>
      </c>
      <c r="H230" s="439">
        <f>+G230*C230</f>
        <v>1298</v>
      </c>
    </row>
    <row r="231" spans="1:8" ht="16.2" thickBot="1" x14ac:dyDescent="0.3">
      <c r="A231" s="433">
        <v>2</v>
      </c>
      <c r="B231" s="434" t="s">
        <v>318</v>
      </c>
      <c r="C231" s="435">
        <v>1</v>
      </c>
      <c r="D231" s="436" t="s">
        <v>24</v>
      </c>
      <c r="E231" s="437">
        <v>15</v>
      </c>
      <c r="F231" s="438"/>
      <c r="G231" s="438">
        <f>+E231+F231</f>
        <v>15</v>
      </c>
      <c r="H231" s="439">
        <f>+G231*C231</f>
        <v>15</v>
      </c>
    </row>
    <row r="232" spans="1:8" ht="16.2" thickBot="1" x14ac:dyDescent="0.3">
      <c r="A232" s="525"/>
      <c r="B232" s="525"/>
      <c r="C232" s="525"/>
      <c r="D232" s="525"/>
      <c r="E232" s="525"/>
      <c r="F232" s="440"/>
      <c r="G232" s="441" t="s">
        <v>246</v>
      </c>
      <c r="H232" s="442">
        <f>SUM(H230:H231)</f>
        <v>1313</v>
      </c>
    </row>
    <row r="234" spans="1:8" ht="15.6" x14ac:dyDescent="0.3">
      <c r="A234" s="443" t="s">
        <v>213</v>
      </c>
      <c r="B234" s="444" t="s">
        <v>215</v>
      </c>
      <c r="C234" s="444" t="s">
        <v>216</v>
      </c>
      <c r="D234" s="444" t="s">
        <v>319</v>
      </c>
      <c r="E234" s="444" t="s">
        <v>320</v>
      </c>
    </row>
    <row r="235" spans="1:8" ht="15" x14ac:dyDescent="0.25">
      <c r="A235" s="445" t="s">
        <v>328</v>
      </c>
      <c r="B235" s="446" t="s">
        <v>322</v>
      </c>
      <c r="C235" s="447">
        <v>63</v>
      </c>
      <c r="D235" s="448">
        <v>25.11</v>
      </c>
      <c r="E235" s="447">
        <v>0</v>
      </c>
    </row>
    <row r="237" spans="1:8" ht="31.2" x14ac:dyDescent="0.25">
      <c r="A237" s="432" t="s">
        <v>314</v>
      </c>
      <c r="B237" s="432" t="s">
        <v>329</v>
      </c>
      <c r="C237" s="432"/>
      <c r="D237" s="432"/>
      <c r="E237" s="432"/>
      <c r="F237" s="432"/>
      <c r="G237" s="432"/>
      <c r="H237" s="432"/>
    </row>
    <row r="238" spans="1:8" ht="31.2" x14ac:dyDescent="0.25">
      <c r="A238" s="433" t="s">
        <v>198</v>
      </c>
      <c r="B238" s="433" t="s">
        <v>199</v>
      </c>
      <c r="C238" s="433" t="s">
        <v>200</v>
      </c>
      <c r="D238" s="433" t="s">
        <v>201</v>
      </c>
      <c r="E238" s="433" t="s">
        <v>202</v>
      </c>
      <c r="F238" s="433" t="s">
        <v>203</v>
      </c>
      <c r="G238" s="433" t="s">
        <v>204</v>
      </c>
      <c r="H238" s="433" t="s">
        <v>205</v>
      </c>
    </row>
    <row r="239" spans="1:8" ht="15.6" x14ac:dyDescent="0.25">
      <c r="A239" s="433">
        <v>1</v>
      </c>
      <c r="B239" s="434" t="s">
        <v>330</v>
      </c>
      <c r="C239" s="435">
        <v>1</v>
      </c>
      <c r="D239" s="436" t="s">
        <v>317</v>
      </c>
      <c r="E239" s="437">
        <v>995</v>
      </c>
      <c r="F239" s="438">
        <f>+E239*0.18</f>
        <v>179.1</v>
      </c>
      <c r="G239" s="438">
        <f>+E239+F239</f>
        <v>1174.0999999999999</v>
      </c>
      <c r="H239" s="439">
        <f>+G239*C239</f>
        <v>1174.0999999999999</v>
      </c>
    </row>
    <row r="240" spans="1:8" ht="16.2" thickBot="1" x14ac:dyDescent="0.3">
      <c r="A240" s="433">
        <v>2</v>
      </c>
      <c r="B240" s="434" t="s">
        <v>318</v>
      </c>
      <c r="C240" s="435">
        <v>1</v>
      </c>
      <c r="D240" s="436" t="s">
        <v>24</v>
      </c>
      <c r="E240" s="437">
        <v>15</v>
      </c>
      <c r="F240" s="438"/>
      <c r="G240" s="438">
        <f>+E240+F240</f>
        <v>15</v>
      </c>
      <c r="H240" s="439">
        <f>+G240*C240</f>
        <v>15</v>
      </c>
    </row>
    <row r="241" spans="1:8" ht="16.2" thickBot="1" x14ac:dyDescent="0.3">
      <c r="A241" s="525"/>
      <c r="B241" s="525"/>
      <c r="C241" s="525"/>
      <c r="D241" s="525"/>
      <c r="E241" s="525"/>
      <c r="F241" s="440"/>
      <c r="G241" s="441" t="s">
        <v>246</v>
      </c>
      <c r="H241" s="442">
        <f>SUM(H239:H240)</f>
        <v>1189.0999999999999</v>
      </c>
    </row>
    <row r="243" spans="1:8" ht="15.6" x14ac:dyDescent="0.3">
      <c r="A243" s="443" t="s">
        <v>213</v>
      </c>
      <c r="B243" s="444" t="s">
        <v>215</v>
      </c>
      <c r="C243" s="444" t="s">
        <v>216</v>
      </c>
      <c r="D243" s="444" t="s">
        <v>319</v>
      </c>
      <c r="E243" s="444" t="s">
        <v>320</v>
      </c>
    </row>
    <row r="244" spans="1:8" ht="15" x14ac:dyDescent="0.25">
      <c r="A244" s="445" t="s">
        <v>331</v>
      </c>
      <c r="B244" s="446" t="s">
        <v>322</v>
      </c>
      <c r="C244" s="447">
        <v>55</v>
      </c>
      <c r="D244" s="448">
        <v>25.11</v>
      </c>
      <c r="E244" s="447">
        <v>0</v>
      </c>
    </row>
    <row r="245" spans="1:8" ht="15.6" x14ac:dyDescent="0.3">
      <c r="A245" s="214" t="s">
        <v>332</v>
      </c>
    </row>
    <row r="246" spans="1:8" ht="15.6" x14ac:dyDescent="0.3">
      <c r="A246" s="443" t="s">
        <v>213</v>
      </c>
      <c r="B246" s="444" t="s">
        <v>215</v>
      </c>
      <c r="C246" s="444" t="s">
        <v>216</v>
      </c>
      <c r="D246" s="449" t="s">
        <v>319</v>
      </c>
      <c r="E246" s="450"/>
    </row>
    <row r="247" spans="1:8" ht="15" x14ac:dyDescent="0.25">
      <c r="A247" s="445" t="s">
        <v>321</v>
      </c>
      <c r="B247" s="446" t="s">
        <v>322</v>
      </c>
      <c r="C247" s="447">
        <v>46.97</v>
      </c>
      <c r="D247" s="451">
        <v>25.11</v>
      </c>
      <c r="E247" s="215"/>
    </row>
    <row r="248" spans="1:8" ht="15" x14ac:dyDescent="0.25">
      <c r="A248" s="445" t="s">
        <v>325</v>
      </c>
      <c r="B248" s="446" t="s">
        <v>322</v>
      </c>
      <c r="C248" s="447">
        <v>30</v>
      </c>
      <c r="D248" s="451">
        <v>25.11</v>
      </c>
    </row>
    <row r="249" spans="1:8" ht="15" x14ac:dyDescent="0.25">
      <c r="A249" s="445" t="s">
        <v>328</v>
      </c>
      <c r="B249" s="446" t="s">
        <v>322</v>
      </c>
      <c r="C249" s="447">
        <v>25</v>
      </c>
      <c r="D249" s="451">
        <v>25.11</v>
      </c>
    </row>
    <row r="250" spans="1:8" ht="15" x14ac:dyDescent="0.25">
      <c r="A250" s="445" t="s">
        <v>331</v>
      </c>
      <c r="B250" s="446" t="s">
        <v>322</v>
      </c>
      <c r="C250" s="447">
        <v>20</v>
      </c>
      <c r="D250" s="451">
        <v>25.11</v>
      </c>
    </row>
    <row r="252" spans="1:8" ht="15.6" x14ac:dyDescent="0.25">
      <c r="A252" s="181"/>
      <c r="B252" s="512" t="s">
        <v>333</v>
      </c>
      <c r="C252" s="513"/>
    </row>
    <row r="253" spans="1:8" ht="31.2" x14ac:dyDescent="0.25">
      <c r="A253" s="195" t="s">
        <v>198</v>
      </c>
      <c r="B253" s="195" t="s">
        <v>199</v>
      </c>
      <c r="C253" s="195" t="s">
        <v>200</v>
      </c>
      <c r="D253" s="195" t="s">
        <v>201</v>
      </c>
      <c r="E253" s="195" t="s">
        <v>202</v>
      </c>
      <c r="F253" s="195" t="s">
        <v>203</v>
      </c>
      <c r="G253" s="181" t="s">
        <v>204</v>
      </c>
      <c r="H253" s="195" t="s">
        <v>205</v>
      </c>
    </row>
    <row r="254" spans="1:8" ht="16.2" thickBot="1" x14ac:dyDescent="0.3">
      <c r="A254" s="195"/>
      <c r="B254" s="349" t="s">
        <v>232</v>
      </c>
      <c r="C254" s="350"/>
      <c r="D254" s="350"/>
      <c r="E254" s="350"/>
      <c r="F254" s="350"/>
      <c r="G254" s="351"/>
      <c r="H254" s="350"/>
    </row>
    <row r="255" spans="1:8" ht="16.2" thickBot="1" x14ac:dyDescent="0.3">
      <c r="A255" s="352">
        <v>1</v>
      </c>
      <c r="B255" s="353" t="s">
        <v>334</v>
      </c>
      <c r="C255" s="354">
        <v>1</v>
      </c>
      <c r="D255" s="355" t="s">
        <v>234</v>
      </c>
      <c r="E255" s="356">
        <v>5850</v>
      </c>
      <c r="F255" s="357">
        <v>810</v>
      </c>
      <c r="G255" s="357">
        <f>+E255+F255</f>
        <v>6660</v>
      </c>
      <c r="H255" s="358">
        <f>+G255*C255</f>
        <v>6660</v>
      </c>
    </row>
    <row r="256" spans="1:8" ht="16.2" thickBot="1" x14ac:dyDescent="0.3">
      <c r="A256" s="182"/>
      <c r="B256" s="359"/>
      <c r="C256" s="360"/>
      <c r="D256" s="361"/>
      <c r="E256" s="362"/>
      <c r="F256" s="363"/>
      <c r="G256" s="469" t="s">
        <v>235</v>
      </c>
      <c r="H256" s="470">
        <f>+SUM(H255:H255)</f>
        <v>6660</v>
      </c>
    </row>
    <row r="257" spans="1:8" ht="15.6" x14ac:dyDescent="0.25">
      <c r="A257" s="182">
        <v>3</v>
      </c>
      <c r="B257" s="366" t="s">
        <v>236</v>
      </c>
      <c r="C257" s="197"/>
      <c r="D257" s="198"/>
      <c r="E257" s="199"/>
      <c r="F257" s="200"/>
      <c r="G257" s="367"/>
      <c r="H257" s="368"/>
    </row>
    <row r="258" spans="1:8" ht="15.6" x14ac:dyDescent="0.25">
      <c r="A258" s="182">
        <f>+A257+1</f>
        <v>4</v>
      </c>
      <c r="B258" s="369" t="s">
        <v>237</v>
      </c>
      <c r="C258" s="197"/>
      <c r="D258" s="370"/>
      <c r="E258" s="199"/>
      <c r="F258" s="200"/>
      <c r="G258" s="200"/>
      <c r="H258" s="201"/>
    </row>
    <row r="259" spans="1:8" ht="16.2" thickBot="1" x14ac:dyDescent="0.3">
      <c r="A259" s="182">
        <f t="shared" ref="A259:A261" si="0">+A258+1</f>
        <v>5</v>
      </c>
      <c r="B259" s="371" t="s">
        <v>238</v>
      </c>
      <c r="C259" s="197">
        <v>1</v>
      </c>
      <c r="D259" s="370" t="s">
        <v>239</v>
      </c>
      <c r="E259" s="372"/>
      <c r="F259" s="200"/>
      <c r="G259" s="200"/>
      <c r="H259" s="201">
        <v>250</v>
      </c>
    </row>
    <row r="260" spans="1:8" ht="28.2" thickBot="1" x14ac:dyDescent="0.3">
      <c r="A260" s="182">
        <f t="shared" si="0"/>
        <v>6</v>
      </c>
      <c r="B260" s="371" t="s">
        <v>240</v>
      </c>
      <c r="C260" s="197">
        <v>1</v>
      </c>
      <c r="D260" s="198" t="s">
        <v>241</v>
      </c>
      <c r="E260" s="372"/>
      <c r="F260" s="200"/>
      <c r="G260" s="200"/>
      <c r="H260" s="201">
        <f>+(H256+H259+H262+H263)*C260%</f>
        <v>88.841149999999999</v>
      </c>
    </row>
    <row r="261" spans="1:8" ht="15.6" x14ac:dyDescent="0.25">
      <c r="A261" s="182">
        <f t="shared" si="0"/>
        <v>7</v>
      </c>
      <c r="B261" s="373" t="s">
        <v>242</v>
      </c>
      <c r="C261" s="197"/>
      <c r="D261" s="370"/>
      <c r="E261" s="372"/>
      <c r="F261" s="200"/>
      <c r="G261" s="200"/>
      <c r="H261" s="201"/>
    </row>
    <row r="262" spans="1:8" ht="15.6" x14ac:dyDescent="0.25">
      <c r="A262" s="182"/>
      <c r="B262" s="374" t="s">
        <v>243</v>
      </c>
      <c r="C262" s="375">
        <v>0.5</v>
      </c>
      <c r="D262" s="370" t="s">
        <v>244</v>
      </c>
      <c r="E262" s="372">
        <f>ma</f>
        <v>1898.49</v>
      </c>
      <c r="F262" s="200"/>
      <c r="G262" s="200"/>
      <c r="H262" s="201">
        <f>+E262*C262</f>
        <v>949.245</v>
      </c>
    </row>
    <row r="263" spans="1:8" ht="16.2" thickBot="1" x14ac:dyDescent="0.3">
      <c r="A263" s="182">
        <f>+A261+1</f>
        <v>8</v>
      </c>
      <c r="B263" s="374" t="s">
        <v>245</v>
      </c>
      <c r="C263" s="376">
        <v>1</v>
      </c>
      <c r="D263" s="370" t="s">
        <v>244</v>
      </c>
      <c r="E263" s="372">
        <f>ayu</f>
        <v>1024.8699999999999</v>
      </c>
      <c r="F263" s="200"/>
      <c r="G263" s="377"/>
      <c r="H263" s="378">
        <f>+E263*C263</f>
        <v>1024.8699999999999</v>
      </c>
    </row>
    <row r="264" spans="1:8" ht="16.2" thickBot="1" x14ac:dyDescent="0.3">
      <c r="A264" s="514"/>
      <c r="B264" s="514"/>
      <c r="C264" s="514"/>
      <c r="D264" s="514"/>
      <c r="E264" s="514"/>
      <c r="F264" s="379"/>
      <c r="G264" s="380" t="s">
        <v>246</v>
      </c>
      <c r="H264" s="381">
        <f>SUM(H257:H263)/10</f>
        <v>231.295615</v>
      </c>
    </row>
    <row r="265" spans="1:8" ht="15.6" x14ac:dyDescent="0.25">
      <c r="G265" s="382" t="s">
        <v>246</v>
      </c>
      <c r="H265" s="181">
        <f>+H264+H256</f>
        <v>6891.295615</v>
      </c>
    </row>
    <row r="268" spans="1:8" ht="15.6" x14ac:dyDescent="0.25">
      <c r="A268" s="181"/>
      <c r="B268" s="512" t="s">
        <v>335</v>
      </c>
      <c r="C268" s="513"/>
    </row>
    <row r="269" spans="1:8" ht="31.2" x14ac:dyDescent="0.25">
      <c r="A269" s="195" t="s">
        <v>198</v>
      </c>
      <c r="B269" s="195" t="s">
        <v>199</v>
      </c>
      <c r="C269" s="195" t="s">
        <v>200</v>
      </c>
      <c r="D269" s="195" t="s">
        <v>201</v>
      </c>
      <c r="E269" s="195" t="s">
        <v>202</v>
      </c>
      <c r="F269" s="195" t="s">
        <v>203</v>
      </c>
      <c r="G269" s="181" t="s">
        <v>204</v>
      </c>
      <c r="H269" s="195" t="s">
        <v>205</v>
      </c>
    </row>
    <row r="270" spans="1:8" ht="16.2" thickBot="1" x14ac:dyDescent="0.3">
      <c r="A270" s="195"/>
      <c r="B270" s="349" t="s">
        <v>232</v>
      </c>
      <c r="C270" s="350"/>
      <c r="D270" s="350"/>
      <c r="E270" s="350"/>
      <c r="F270" s="350"/>
      <c r="G270" s="351"/>
      <c r="H270" s="350"/>
    </row>
    <row r="271" spans="1:8" ht="15.6" x14ac:dyDescent="0.25">
      <c r="A271" s="352">
        <v>1</v>
      </c>
      <c r="B271" s="353" t="s">
        <v>334</v>
      </c>
      <c r="C271" s="354">
        <v>1</v>
      </c>
      <c r="D271" s="355" t="s">
        <v>234</v>
      </c>
      <c r="E271" s="356">
        <v>4500</v>
      </c>
      <c r="F271" s="357">
        <f>+E271*0.18</f>
        <v>810</v>
      </c>
      <c r="G271" s="357">
        <f>+E271+F271</f>
        <v>5310</v>
      </c>
      <c r="H271" s="358">
        <f>+G271*C271</f>
        <v>5310</v>
      </c>
    </row>
    <row r="272" spans="1:8" ht="16.2" thickBot="1" x14ac:dyDescent="0.3">
      <c r="A272" s="182"/>
      <c r="B272" s="359"/>
      <c r="C272" s="360"/>
      <c r="D272" s="361"/>
      <c r="E272" s="362"/>
      <c r="F272" s="363"/>
      <c r="G272" s="364" t="s">
        <v>235</v>
      </c>
      <c r="H272" s="365">
        <f>+H271</f>
        <v>5310</v>
      </c>
    </row>
    <row r="273" spans="1:8" ht="15.6" x14ac:dyDescent="0.25">
      <c r="A273" s="182"/>
      <c r="B273" s="366" t="s">
        <v>236</v>
      </c>
      <c r="C273" s="197"/>
      <c r="D273" s="198"/>
      <c r="E273" s="199"/>
      <c r="F273" s="200"/>
      <c r="G273" s="367"/>
      <c r="H273" s="368"/>
    </row>
    <row r="274" spans="1:8" ht="15.6" x14ac:dyDescent="0.25">
      <c r="A274" s="182"/>
      <c r="B274" s="369" t="s">
        <v>237</v>
      </c>
      <c r="C274" s="197"/>
      <c r="D274" s="370"/>
      <c r="E274" s="199"/>
      <c r="F274" s="200"/>
      <c r="G274" s="200"/>
      <c r="H274" s="201"/>
    </row>
    <row r="275" spans="1:8" ht="16.2" thickBot="1" x14ac:dyDescent="0.3">
      <c r="A275" s="182">
        <v>2</v>
      </c>
      <c r="B275" s="371" t="s">
        <v>238</v>
      </c>
      <c r="C275" s="197">
        <v>1</v>
      </c>
      <c r="D275" s="370" t="s">
        <v>239</v>
      </c>
      <c r="E275" s="372"/>
      <c r="F275" s="200"/>
      <c r="G275" s="200"/>
      <c r="H275" s="201">
        <v>250</v>
      </c>
    </row>
    <row r="276" spans="1:8" ht="28.2" thickBot="1" x14ac:dyDescent="0.3">
      <c r="A276" s="182">
        <v>3</v>
      </c>
      <c r="B276" s="371" t="s">
        <v>240</v>
      </c>
      <c r="C276" s="197">
        <v>1</v>
      </c>
      <c r="D276" s="198" t="s">
        <v>241</v>
      </c>
      <c r="E276" s="372"/>
      <c r="F276" s="200"/>
      <c r="G276" s="200"/>
      <c r="H276" s="201">
        <f>+(H271+H275+H278+H279)*C276%</f>
        <v>75.341149999999999</v>
      </c>
    </row>
    <row r="277" spans="1:8" ht="15.6" x14ac:dyDescent="0.25">
      <c r="A277" s="182"/>
      <c r="B277" s="373" t="s">
        <v>242</v>
      </c>
      <c r="C277" s="197"/>
      <c r="D277" s="370"/>
      <c r="E277" s="372"/>
      <c r="F277" s="200"/>
      <c r="G277" s="200"/>
      <c r="H277" s="201"/>
    </row>
    <row r="278" spans="1:8" ht="15.6" x14ac:dyDescent="0.25">
      <c r="A278" s="182">
        <v>4</v>
      </c>
      <c r="B278" s="374" t="s">
        <v>243</v>
      </c>
      <c r="C278" s="375">
        <v>0.5</v>
      </c>
      <c r="D278" s="370" t="s">
        <v>244</v>
      </c>
      <c r="E278" s="372">
        <f>ma</f>
        <v>1898.49</v>
      </c>
      <c r="F278" s="200"/>
      <c r="G278" s="200"/>
      <c r="H278" s="201">
        <f>+E278*C278</f>
        <v>949.245</v>
      </c>
    </row>
    <row r="279" spans="1:8" ht="16.2" thickBot="1" x14ac:dyDescent="0.3">
      <c r="A279" s="182">
        <v>5</v>
      </c>
      <c r="B279" s="374" t="s">
        <v>245</v>
      </c>
      <c r="C279" s="376">
        <v>1</v>
      </c>
      <c r="D279" s="370" t="s">
        <v>244</v>
      </c>
      <c r="E279" s="372">
        <f>ayu</f>
        <v>1024.8699999999999</v>
      </c>
      <c r="F279" s="200"/>
      <c r="G279" s="377"/>
      <c r="H279" s="378">
        <f>+E279*C279</f>
        <v>1024.8699999999999</v>
      </c>
    </row>
    <row r="280" spans="1:8" ht="16.2" thickBot="1" x14ac:dyDescent="0.3">
      <c r="A280" s="514"/>
      <c r="B280" s="514"/>
      <c r="C280" s="514"/>
      <c r="D280" s="514"/>
      <c r="E280" s="514"/>
      <c r="F280" s="379"/>
      <c r="G280" s="380" t="s">
        <v>246</v>
      </c>
      <c r="H280" s="381">
        <f>SUM(H275:H279)/10</f>
        <v>229.945615</v>
      </c>
    </row>
    <row r="281" spans="1:8" ht="15.6" x14ac:dyDescent="0.25">
      <c r="G281" s="382" t="s">
        <v>246</v>
      </c>
      <c r="H281" s="181">
        <f>+H280+H272</f>
        <v>5539.9456149999996</v>
      </c>
    </row>
    <row r="283" spans="1:8" ht="13.8" x14ac:dyDescent="0.25">
      <c r="A283" s="452">
        <v>1</v>
      </c>
      <c r="B283" s="184" t="s">
        <v>336</v>
      </c>
      <c r="C283" s="185">
        <v>1</v>
      </c>
      <c r="D283" s="186" t="s">
        <v>337</v>
      </c>
      <c r="E283" s="187">
        <v>46716.7</v>
      </c>
      <c r="F283" s="187">
        <v>8334</v>
      </c>
      <c r="G283" s="187">
        <f>+E283+F283</f>
        <v>55050.7</v>
      </c>
      <c r="H283" s="188">
        <f>C283*G283</f>
        <v>55050.7</v>
      </c>
    </row>
    <row r="284" spans="1:8" ht="13.8" x14ac:dyDescent="0.25">
      <c r="A284" s="520" t="s">
        <v>338</v>
      </c>
      <c r="B284" s="520"/>
      <c r="C284" s="520"/>
      <c r="D284" s="520"/>
      <c r="E284" s="520"/>
      <c r="F284" s="312"/>
      <c r="G284" s="189"/>
      <c r="H284" s="190">
        <f>SUM(H283:H283)</f>
        <v>55050.7</v>
      </c>
    </row>
    <row r="285" spans="1:8" ht="17.399999999999999" x14ac:dyDescent="0.3">
      <c r="A285" s="191"/>
      <c r="B285" s="191"/>
      <c r="C285" s="191"/>
      <c r="D285" s="191"/>
      <c r="E285" s="191"/>
      <c r="F285" s="191"/>
      <c r="G285" s="192" t="s">
        <v>339</v>
      </c>
      <c r="H285" s="192">
        <f>+H284</f>
        <v>55050.7</v>
      </c>
    </row>
    <row r="287" spans="1:8" ht="13.8" x14ac:dyDescent="0.25">
      <c r="A287" s="452">
        <v>1</v>
      </c>
      <c r="B287" s="184" t="s">
        <v>340</v>
      </c>
      <c r="C287" s="185">
        <v>1</v>
      </c>
      <c r="D287" s="186" t="s">
        <v>337</v>
      </c>
      <c r="E287" s="187">
        <v>83877.160999999993</v>
      </c>
      <c r="F287" s="187">
        <v>14963.220000000001</v>
      </c>
      <c r="G287" s="187">
        <f>+E287+F287</f>
        <v>98840.380999999994</v>
      </c>
      <c r="H287" s="188">
        <f>C287*G287</f>
        <v>98840.380999999994</v>
      </c>
    </row>
    <row r="288" spans="1:8" ht="13.8" x14ac:dyDescent="0.25">
      <c r="A288" s="520" t="s">
        <v>338</v>
      </c>
      <c r="B288" s="520"/>
      <c r="C288" s="520"/>
      <c r="D288" s="520"/>
      <c r="E288" s="520"/>
      <c r="F288" s="312"/>
      <c r="G288" s="189"/>
      <c r="H288" s="190">
        <f>SUM(H287:H287)</f>
        <v>98840.380999999994</v>
      </c>
    </row>
    <row r="289" spans="1:8" ht="17.399999999999999" x14ac:dyDescent="0.3">
      <c r="A289" s="191"/>
      <c r="B289" s="191"/>
      <c r="C289" s="191"/>
      <c r="D289" s="191"/>
      <c r="E289" s="191"/>
      <c r="F289" s="191"/>
      <c r="G289" s="192" t="s">
        <v>339</v>
      </c>
      <c r="H289" s="192">
        <f>+H288</f>
        <v>98840.380999999994</v>
      </c>
    </row>
    <row r="292" spans="1:8" ht="13.8" x14ac:dyDescent="0.25">
      <c r="A292" s="452">
        <v>1</v>
      </c>
      <c r="B292" s="184" t="s">
        <v>341</v>
      </c>
      <c r="C292" s="185">
        <v>1</v>
      </c>
      <c r="D292" s="186" t="s">
        <v>337</v>
      </c>
      <c r="E292" s="187">
        <v>41960.273999999998</v>
      </c>
      <c r="F292" s="187">
        <v>7485.4800000000005</v>
      </c>
      <c r="G292" s="187">
        <f>+E292+F292</f>
        <v>49445.754000000001</v>
      </c>
      <c r="H292" s="188">
        <f>C292*G292</f>
        <v>49445.754000000001</v>
      </c>
    </row>
    <row r="293" spans="1:8" ht="13.8" x14ac:dyDescent="0.25">
      <c r="A293" s="520" t="s">
        <v>338</v>
      </c>
      <c r="B293" s="520"/>
      <c r="C293" s="520"/>
      <c r="D293" s="520"/>
      <c r="E293" s="520"/>
      <c r="F293" s="312"/>
      <c r="G293" s="189"/>
      <c r="H293" s="190">
        <f>SUM(H292:H292)</f>
        <v>49445.754000000001</v>
      </c>
    </row>
    <row r="294" spans="1:8" ht="17.399999999999999" x14ac:dyDescent="0.3">
      <c r="A294" s="191"/>
      <c r="B294" s="191"/>
      <c r="C294" s="191"/>
      <c r="D294" s="191"/>
      <c r="E294" s="191"/>
      <c r="F294" s="191"/>
      <c r="G294" s="192" t="s">
        <v>339</v>
      </c>
      <c r="H294" s="192">
        <f>+H293</f>
        <v>49445.754000000001</v>
      </c>
    </row>
    <row r="296" spans="1:8" ht="13.8" x14ac:dyDescent="0.25">
      <c r="A296" s="452">
        <v>1</v>
      </c>
      <c r="B296" s="184" t="s">
        <v>342</v>
      </c>
      <c r="C296" s="185">
        <v>1</v>
      </c>
      <c r="D296" s="186" t="s">
        <v>337</v>
      </c>
      <c r="E296" s="187">
        <v>31377.882000000001</v>
      </c>
      <c r="F296" s="187">
        <v>5597.64</v>
      </c>
      <c r="G296" s="187">
        <f>+E296+F296</f>
        <v>36975.522000000004</v>
      </c>
      <c r="H296" s="188">
        <f>C296*G296</f>
        <v>36975.522000000004</v>
      </c>
    </row>
    <row r="297" spans="1:8" ht="13.8" x14ac:dyDescent="0.25">
      <c r="A297" s="520" t="s">
        <v>338</v>
      </c>
      <c r="B297" s="520"/>
      <c r="C297" s="520"/>
      <c r="D297" s="520"/>
      <c r="E297" s="520"/>
      <c r="F297" s="312"/>
      <c r="G297" s="189"/>
      <c r="H297" s="190">
        <f>SUM(H296:H296)</f>
        <v>36975.522000000004</v>
      </c>
    </row>
    <row r="298" spans="1:8" ht="17.399999999999999" x14ac:dyDescent="0.3">
      <c r="A298" s="191"/>
      <c r="B298" s="191"/>
      <c r="C298" s="191"/>
      <c r="D298" s="191"/>
      <c r="E298" s="191"/>
      <c r="F298" s="191"/>
      <c r="G298" s="192" t="s">
        <v>339</v>
      </c>
      <c r="H298" s="192">
        <f>+H297</f>
        <v>36975.522000000004</v>
      </c>
    </row>
    <row r="301" spans="1:8" x14ac:dyDescent="0.25">
      <c r="A301" s="453"/>
      <c r="B301" s="313" t="s">
        <v>343</v>
      </c>
      <c r="D301" s="453"/>
      <c r="E301" s="454"/>
      <c r="F301" s="454"/>
      <c r="G301" s="454"/>
    </row>
    <row r="302" spans="1:8" x14ac:dyDescent="0.25">
      <c r="A302" s="453"/>
      <c r="B302" s="313" t="s">
        <v>344</v>
      </c>
      <c r="D302" s="453"/>
      <c r="E302" s="454"/>
      <c r="F302" s="454"/>
      <c r="G302" s="454"/>
      <c r="H302" s="453"/>
    </row>
    <row r="303" spans="1:8" ht="31.2" x14ac:dyDescent="0.25">
      <c r="A303" s="453"/>
      <c r="B303" s="195" t="s">
        <v>199</v>
      </c>
      <c r="C303" s="195" t="s">
        <v>200</v>
      </c>
      <c r="D303" s="195" t="s">
        <v>201</v>
      </c>
      <c r="E303" s="195" t="s">
        <v>202</v>
      </c>
      <c r="F303" s="195" t="s">
        <v>203</v>
      </c>
      <c r="G303" s="181" t="s">
        <v>204</v>
      </c>
      <c r="H303" s="195" t="s">
        <v>205</v>
      </c>
    </row>
    <row r="304" spans="1:8" x14ac:dyDescent="0.25">
      <c r="A304" s="453" t="s">
        <v>345</v>
      </c>
      <c r="B304" t="s">
        <v>346</v>
      </c>
      <c r="D304" s="453"/>
      <c r="E304" s="454"/>
      <c r="F304" s="454"/>
      <c r="G304" s="454"/>
      <c r="H304" s="453"/>
    </row>
    <row r="305" spans="1:8" x14ac:dyDescent="0.25">
      <c r="A305" s="453"/>
      <c r="D305" s="453" t="s">
        <v>347</v>
      </c>
      <c r="E305" s="454">
        <v>3000</v>
      </c>
      <c r="F305" s="454"/>
      <c r="G305" s="454">
        <f>+F305+E305</f>
        <v>3000</v>
      </c>
      <c r="H305" s="453"/>
    </row>
    <row r="306" spans="1:8" x14ac:dyDescent="0.25">
      <c r="A306" s="453"/>
      <c r="B306" s="455"/>
      <c r="D306" s="453"/>
      <c r="E306" s="454"/>
      <c r="F306" s="454"/>
      <c r="G306" s="454"/>
      <c r="H306" s="453"/>
    </row>
    <row r="307" spans="1:8" x14ac:dyDescent="0.25">
      <c r="A307" s="453"/>
      <c r="B307" s="455"/>
      <c r="D307" s="453"/>
      <c r="E307" s="527"/>
      <c r="F307" s="527"/>
      <c r="G307" s="456">
        <f>SUM(G305:G306)</f>
        <v>3000</v>
      </c>
      <c r="H307" s="453"/>
    </row>
    <row r="308" spans="1:8" x14ac:dyDescent="0.25">
      <c r="A308" s="453"/>
      <c r="D308" s="453"/>
      <c r="E308" s="454"/>
      <c r="F308" s="454"/>
      <c r="G308" s="454"/>
      <c r="H308" s="453"/>
    </row>
    <row r="309" spans="1:8" x14ac:dyDescent="0.25">
      <c r="A309" s="453"/>
      <c r="B309" s="313"/>
      <c r="D309" s="457"/>
      <c r="E309" s="528" t="s">
        <v>348</v>
      </c>
      <c r="F309" s="528"/>
      <c r="G309" s="456">
        <f>G307/3000</f>
        <v>1</v>
      </c>
      <c r="H309" s="453"/>
    </row>
    <row r="310" spans="1:8" x14ac:dyDescent="0.25">
      <c r="A310" s="453"/>
      <c r="D310" s="453"/>
      <c r="E310" s="454"/>
      <c r="F310" s="454"/>
      <c r="G310" s="454"/>
      <c r="H310" s="453"/>
    </row>
    <row r="311" spans="1:8" x14ac:dyDescent="0.25">
      <c r="A311" s="453" t="s">
        <v>349</v>
      </c>
      <c r="B311" s="455" t="s">
        <v>350</v>
      </c>
      <c r="D311" s="453" t="s">
        <v>347</v>
      </c>
      <c r="E311" s="454">
        <v>4500</v>
      </c>
      <c r="F311" s="454">
        <v>4000</v>
      </c>
      <c r="G311" s="454">
        <f>PRODUCT(F311/E311)</f>
        <v>0.88888888888888884</v>
      </c>
      <c r="H311" s="453"/>
    </row>
    <row r="312" spans="1:8" x14ac:dyDescent="0.25">
      <c r="A312" s="453" t="s">
        <v>351</v>
      </c>
      <c r="B312" t="s">
        <v>352</v>
      </c>
      <c r="D312" s="453" t="s">
        <v>172</v>
      </c>
      <c r="E312" s="454">
        <v>0.3</v>
      </c>
      <c r="F312" s="454">
        <v>173.96</v>
      </c>
      <c r="G312" s="454">
        <f>E312*F312</f>
        <v>52.188000000000002</v>
      </c>
      <c r="H312" s="453"/>
    </row>
    <row r="313" spans="1:8" x14ac:dyDescent="0.25">
      <c r="A313" s="453" t="s">
        <v>353</v>
      </c>
      <c r="B313" t="s">
        <v>354</v>
      </c>
      <c r="D313" s="453" t="s">
        <v>229</v>
      </c>
      <c r="E313" s="454">
        <v>0.7</v>
      </c>
      <c r="F313" s="454">
        <v>22</v>
      </c>
      <c r="G313" s="454">
        <f>E313*F313</f>
        <v>15.399999999999999</v>
      </c>
      <c r="H313" s="453"/>
    </row>
    <row r="314" spans="1:8" x14ac:dyDescent="0.25">
      <c r="A314" s="453" t="s">
        <v>355</v>
      </c>
      <c r="B314" t="s">
        <v>356</v>
      </c>
      <c r="D314" s="453"/>
      <c r="E314" s="454"/>
      <c r="F314" s="454"/>
      <c r="G314" s="454"/>
      <c r="H314" s="453"/>
    </row>
    <row r="315" spans="1:8" x14ac:dyDescent="0.25">
      <c r="A315" s="453"/>
      <c r="B315" t="s">
        <v>357</v>
      </c>
      <c r="D315" s="453" t="s">
        <v>172</v>
      </c>
      <c r="E315" s="454">
        <v>15000</v>
      </c>
      <c r="F315" s="454">
        <v>3000</v>
      </c>
      <c r="G315" s="454">
        <f>E315/F315</f>
        <v>5</v>
      </c>
      <c r="H315" s="453"/>
    </row>
    <row r="316" spans="1:8" x14ac:dyDescent="0.25">
      <c r="A316" s="453"/>
      <c r="B316" t="s">
        <v>358</v>
      </c>
      <c r="D316" s="453"/>
      <c r="E316" s="454"/>
      <c r="F316" s="454"/>
      <c r="G316" s="456">
        <f>SUM(G311:G315)</f>
        <v>73.47688888888888</v>
      </c>
      <c r="H316" s="453"/>
    </row>
    <row r="317" spans="1:8" x14ac:dyDescent="0.25">
      <c r="A317" s="453"/>
      <c r="D317" s="453"/>
      <c r="E317" s="454"/>
      <c r="F317" s="454"/>
      <c r="G317" s="454"/>
      <c r="H317" s="453"/>
    </row>
    <row r="318" spans="1:8" x14ac:dyDescent="0.25">
      <c r="A318" s="453" t="s">
        <v>359</v>
      </c>
      <c r="B318" t="s">
        <v>360</v>
      </c>
      <c r="D318" s="453" t="s">
        <v>172</v>
      </c>
      <c r="E318" s="454">
        <v>2200</v>
      </c>
      <c r="F318" s="454">
        <v>60</v>
      </c>
      <c r="G318" s="454">
        <f>E318/F318</f>
        <v>36.666666666666664</v>
      </c>
      <c r="H318" s="453"/>
    </row>
    <row r="319" spans="1:8" x14ac:dyDescent="0.25">
      <c r="A319" s="453"/>
      <c r="B319" t="s">
        <v>361</v>
      </c>
      <c r="D319" s="453"/>
      <c r="E319" s="454"/>
      <c r="F319" s="454"/>
      <c r="G319" s="454"/>
      <c r="H319" s="453"/>
    </row>
    <row r="320" spans="1:8" x14ac:dyDescent="0.25">
      <c r="A320" s="453" t="s">
        <v>362</v>
      </c>
      <c r="B320" t="s">
        <v>363</v>
      </c>
      <c r="D320" s="453" t="s">
        <v>364</v>
      </c>
      <c r="E320" s="454">
        <v>8</v>
      </c>
      <c r="F320" s="454">
        <v>1700</v>
      </c>
      <c r="G320" s="454">
        <f>E320*F320+G318</f>
        <v>13636.666666666666</v>
      </c>
      <c r="H320" s="453"/>
    </row>
    <row r="321" spans="1:8" x14ac:dyDescent="0.25">
      <c r="A321" s="453"/>
      <c r="D321" s="453"/>
      <c r="E321" s="454"/>
      <c r="F321" s="454"/>
      <c r="G321" s="454"/>
      <c r="H321" s="457"/>
    </row>
    <row r="322" spans="1:8" x14ac:dyDescent="0.25">
      <c r="A322" s="453"/>
      <c r="B322" s="458"/>
      <c r="D322" s="457"/>
      <c r="E322" s="528" t="s">
        <v>365</v>
      </c>
      <c r="F322" s="528"/>
      <c r="G322" s="456">
        <f>G320/3000</f>
        <v>4.5455555555555556</v>
      </c>
      <c r="H322" s="453"/>
    </row>
    <row r="323" spans="1:8" x14ac:dyDescent="0.25">
      <c r="A323" s="453"/>
      <c r="D323" s="453"/>
      <c r="E323" s="454"/>
      <c r="F323" s="454"/>
      <c r="G323" s="454"/>
      <c r="H323" s="453"/>
    </row>
    <row r="324" spans="1:8" x14ac:dyDescent="0.25">
      <c r="A324" s="453" t="s">
        <v>366</v>
      </c>
      <c r="B324" t="s">
        <v>367</v>
      </c>
      <c r="D324" s="453" t="s">
        <v>368</v>
      </c>
      <c r="E324" s="454">
        <v>8</v>
      </c>
      <c r="F324" s="454">
        <v>3797.2</v>
      </c>
      <c r="G324" s="454">
        <f>E324*F324</f>
        <v>30377.599999999999</v>
      </c>
      <c r="H324" s="453"/>
    </row>
    <row r="325" spans="1:8" x14ac:dyDescent="0.25">
      <c r="A325" s="453"/>
      <c r="D325" s="453"/>
      <c r="E325" s="454"/>
      <c r="F325" s="454"/>
      <c r="G325" s="454"/>
      <c r="H325" s="453"/>
    </row>
    <row r="326" spans="1:8" x14ac:dyDescent="0.25">
      <c r="A326" s="453"/>
      <c r="B326" s="313"/>
      <c r="D326" s="457"/>
      <c r="E326" s="528" t="s">
        <v>365</v>
      </c>
      <c r="F326" s="528"/>
      <c r="G326" s="456">
        <f>G324/3000</f>
        <v>10.125866666666667</v>
      </c>
      <c r="H326" s="453"/>
    </row>
    <row r="327" spans="1:8" x14ac:dyDescent="0.25">
      <c r="A327" s="453" t="s">
        <v>369</v>
      </c>
      <c r="B327" t="s">
        <v>370</v>
      </c>
      <c r="D327" s="453"/>
      <c r="E327" s="454"/>
      <c r="F327" s="454"/>
      <c r="G327" s="454"/>
      <c r="H327" s="453"/>
    </row>
    <row r="328" spans="1:8" x14ac:dyDescent="0.25">
      <c r="A328" s="453"/>
      <c r="B328" t="s">
        <v>371</v>
      </c>
      <c r="D328" s="453" t="s">
        <v>347</v>
      </c>
      <c r="E328" s="454"/>
      <c r="F328" s="454">
        <v>1024</v>
      </c>
      <c r="G328" s="454">
        <f>F328*10</f>
        <v>10240</v>
      </c>
      <c r="H328" s="453"/>
    </row>
    <row r="329" spans="1:8" x14ac:dyDescent="0.25">
      <c r="A329" s="453"/>
      <c r="B329" t="s">
        <v>372</v>
      </c>
      <c r="D329" s="453" t="s">
        <v>347</v>
      </c>
      <c r="E329" s="454"/>
      <c r="F329" s="454">
        <v>1800</v>
      </c>
      <c r="G329" s="454">
        <v>1000</v>
      </c>
      <c r="H329" s="453"/>
    </row>
    <row r="330" spans="1:8" x14ac:dyDescent="0.25">
      <c r="A330" s="453"/>
      <c r="D330" s="453"/>
      <c r="E330" s="454"/>
      <c r="F330" s="454"/>
      <c r="G330" s="454"/>
      <c r="H330" s="453"/>
    </row>
    <row r="331" spans="1:8" x14ac:dyDescent="0.25">
      <c r="A331" s="453"/>
      <c r="B331" s="313"/>
      <c r="D331" s="457"/>
      <c r="E331" s="528" t="s">
        <v>365</v>
      </c>
      <c r="F331" s="528"/>
      <c r="G331" s="456">
        <f>SUM(G328:G330)/3000</f>
        <v>3.7466666666666666</v>
      </c>
      <c r="H331" s="453"/>
    </row>
    <row r="332" spans="1:8" x14ac:dyDescent="0.25">
      <c r="A332" s="453" t="s">
        <v>373</v>
      </c>
      <c r="B332" t="s">
        <v>374</v>
      </c>
      <c r="D332" s="453"/>
      <c r="E332" s="454"/>
      <c r="F332" s="454"/>
      <c r="G332" s="454"/>
      <c r="H332" s="453"/>
    </row>
    <row r="333" spans="1:8" x14ac:dyDescent="0.25">
      <c r="A333" s="453" t="s">
        <v>375</v>
      </c>
      <c r="B333" t="s">
        <v>376</v>
      </c>
      <c r="D333" s="453" t="s">
        <v>172</v>
      </c>
      <c r="E333" s="454"/>
      <c r="F333" s="454"/>
      <c r="G333" s="454">
        <f>10.9929367521368+2.69</f>
        <v>13.682936752136799</v>
      </c>
      <c r="H333" s="453"/>
    </row>
    <row r="334" spans="1:8" x14ac:dyDescent="0.25">
      <c r="A334" s="453" t="s">
        <v>377</v>
      </c>
      <c r="B334" t="s">
        <v>378</v>
      </c>
      <c r="D334" s="453" t="s">
        <v>172</v>
      </c>
      <c r="E334" s="454"/>
      <c r="F334" s="454"/>
      <c r="G334" s="454">
        <v>30</v>
      </c>
      <c r="H334" s="453"/>
    </row>
    <row r="335" spans="1:8" x14ac:dyDescent="0.25">
      <c r="A335" s="453" t="s">
        <v>379</v>
      </c>
      <c r="B335" t="s">
        <v>380</v>
      </c>
      <c r="D335" s="453"/>
      <c r="E335" s="454">
        <v>0.1</v>
      </c>
      <c r="F335" s="454">
        <v>214.8</v>
      </c>
      <c r="G335" s="454">
        <f>E335*F335</f>
        <v>21.480000000000004</v>
      </c>
      <c r="H335" s="453"/>
    </row>
    <row r="336" spans="1:8" x14ac:dyDescent="0.25">
      <c r="A336" s="453"/>
      <c r="D336" s="453"/>
      <c r="E336" s="454"/>
      <c r="F336" s="454"/>
      <c r="G336" s="454"/>
      <c r="H336" s="453"/>
    </row>
    <row r="337" spans="1:8" x14ac:dyDescent="0.25">
      <c r="A337" s="453"/>
      <c r="B337" s="313"/>
      <c r="D337" s="526" t="s">
        <v>381</v>
      </c>
      <c r="E337" s="526"/>
      <c r="F337" s="526"/>
      <c r="G337" s="459">
        <f>G335+G334+G333+G331+G326+G322+G316+G309</f>
        <v>158.05791452991457</v>
      </c>
      <c r="H337" s="453"/>
    </row>
    <row r="338" spans="1:8" x14ac:dyDescent="0.25">
      <c r="A338" s="453"/>
      <c r="B338" s="313"/>
      <c r="D338" s="457"/>
      <c r="E338" s="456"/>
      <c r="F338" s="456"/>
      <c r="G338" s="456"/>
      <c r="H338" s="453"/>
    </row>
    <row r="339" spans="1:8" ht="15.6" x14ac:dyDescent="0.3">
      <c r="A339" s="453"/>
      <c r="B339" s="214" t="s">
        <v>382</v>
      </c>
      <c r="C339" s="313"/>
      <c r="D339" s="453"/>
      <c r="E339" t="s">
        <v>383</v>
      </c>
      <c r="G339" s="453"/>
      <c r="H339" s="453"/>
    </row>
    <row r="340" spans="1:8" x14ac:dyDescent="0.25">
      <c r="A340" s="453"/>
      <c r="B340" s="313"/>
      <c r="C340" s="313"/>
      <c r="D340" s="457"/>
      <c r="E340" s="456"/>
      <c r="F340" s="456"/>
      <c r="G340" s="456"/>
      <c r="H340" s="453"/>
    </row>
    <row r="341" spans="1:8" x14ac:dyDescent="0.25">
      <c r="A341" s="453"/>
      <c r="B341" s="313"/>
      <c r="E341" s="456"/>
      <c r="F341" s="456"/>
      <c r="G341" s="456"/>
      <c r="H341" s="453"/>
    </row>
    <row r="342" spans="1:8" x14ac:dyDescent="0.25">
      <c r="A342" s="453" t="s">
        <v>345</v>
      </c>
      <c r="B342" t="s">
        <v>384</v>
      </c>
      <c r="D342" t="s">
        <v>385</v>
      </c>
      <c r="E342" s="453">
        <v>0.15</v>
      </c>
      <c r="F342" s="460">
        <v>226</v>
      </c>
      <c r="G342" s="456">
        <f>E342*F342</f>
        <v>33.9</v>
      </c>
      <c r="H342" s="453"/>
    </row>
    <row r="343" spans="1:8" x14ac:dyDescent="0.25">
      <c r="A343" s="453" t="s">
        <v>349</v>
      </c>
      <c r="B343" t="s">
        <v>386</v>
      </c>
      <c r="E343" s="461"/>
      <c r="F343" s="180">
        <v>2</v>
      </c>
      <c r="G343" s="454">
        <v>2</v>
      </c>
      <c r="H343" s="453"/>
    </row>
    <row r="344" spans="1:8" x14ac:dyDescent="0.25">
      <c r="A344" s="453" t="s">
        <v>351</v>
      </c>
      <c r="B344" t="s">
        <v>376</v>
      </c>
      <c r="F344" s="180">
        <v>1</v>
      </c>
      <c r="G344" s="454">
        <v>1.1000000000000001</v>
      </c>
      <c r="H344" s="453"/>
    </row>
    <row r="345" spans="1:8" x14ac:dyDescent="0.25">
      <c r="A345" s="453"/>
      <c r="D345" s="453"/>
      <c r="E345" s="454"/>
      <c r="F345" s="456"/>
      <c r="G345" s="456"/>
      <c r="H345" s="453"/>
    </row>
    <row r="346" spans="1:8" x14ac:dyDescent="0.25">
      <c r="A346" s="453"/>
      <c r="C346" s="454"/>
      <c r="D346" s="453"/>
      <c r="E346" s="526" t="s">
        <v>387</v>
      </c>
      <c r="F346" s="526"/>
      <c r="G346" s="459">
        <f>SUM(G342:G345)</f>
        <v>37</v>
      </c>
      <c r="H346" s="453"/>
    </row>
    <row r="347" spans="1:8" x14ac:dyDescent="0.25">
      <c r="A347" s="453"/>
      <c r="B347" s="313"/>
      <c r="C347" s="457"/>
      <c r="D347" s="457"/>
      <c r="E347" s="456"/>
      <c r="F347" s="456"/>
      <c r="G347" s="456"/>
      <c r="H347" s="453"/>
    </row>
    <row r="348" spans="1:8" ht="15.6" x14ac:dyDescent="0.3">
      <c r="A348" s="453"/>
      <c r="B348" s="214" t="s">
        <v>388</v>
      </c>
      <c r="D348" s="453"/>
      <c r="E348" s="454"/>
      <c r="F348" s="454"/>
      <c r="G348" s="454"/>
      <c r="H348" s="453"/>
    </row>
    <row r="349" spans="1:8" x14ac:dyDescent="0.25">
      <c r="A349" s="453"/>
      <c r="D349" s="453"/>
      <c r="E349" s="454"/>
      <c r="F349" s="454"/>
      <c r="G349" s="454"/>
      <c r="H349" s="453"/>
    </row>
    <row r="350" spans="1:8" x14ac:dyDescent="0.25">
      <c r="A350" s="453"/>
      <c r="D350" s="453"/>
      <c r="E350" s="454"/>
      <c r="F350" s="454"/>
      <c r="G350" s="454"/>
      <c r="H350" s="453"/>
    </row>
    <row r="351" spans="1:8" x14ac:dyDescent="0.25">
      <c r="A351" s="453" t="s">
        <v>345</v>
      </c>
      <c r="B351" t="s">
        <v>389</v>
      </c>
      <c r="D351" s="453" t="s">
        <v>164</v>
      </c>
      <c r="E351" s="454"/>
      <c r="F351" s="454"/>
      <c r="G351" s="454">
        <v>8500</v>
      </c>
      <c r="H351" s="480"/>
    </row>
    <row r="352" spans="1:8" x14ac:dyDescent="0.25">
      <c r="A352" s="453" t="s">
        <v>349</v>
      </c>
      <c r="B352" t="s">
        <v>390</v>
      </c>
      <c r="D352" s="453" t="s">
        <v>391</v>
      </c>
      <c r="E352" s="454"/>
      <c r="F352" s="454"/>
      <c r="G352" s="454">
        <v>4382.7</v>
      </c>
      <c r="H352" s="453"/>
    </row>
    <row r="353" spans="1:8" x14ac:dyDescent="0.25">
      <c r="A353" s="453"/>
      <c r="D353" s="453"/>
      <c r="E353" s="454"/>
      <c r="F353" s="454"/>
      <c r="G353" s="454"/>
      <c r="H353" s="453"/>
    </row>
    <row r="354" spans="1:8" x14ac:dyDescent="0.25">
      <c r="A354" s="453"/>
      <c r="D354" s="453"/>
      <c r="E354" s="454"/>
      <c r="F354" s="462" t="s">
        <v>392</v>
      </c>
      <c r="G354" s="462"/>
      <c r="H354" s="459">
        <f>SUM(G351:G353)</f>
        <v>12882.7</v>
      </c>
    </row>
    <row r="355" spans="1:8" x14ac:dyDescent="0.25">
      <c r="A355" s="453"/>
      <c r="D355" s="453"/>
      <c r="E355" s="454"/>
      <c r="F355" s="454"/>
      <c r="G355" s="454"/>
      <c r="H355" s="453"/>
    </row>
    <row r="356" spans="1:8" x14ac:dyDescent="0.25">
      <c r="A356" s="453"/>
      <c r="D356" s="453"/>
      <c r="E356" s="454"/>
      <c r="F356" s="526" t="s">
        <v>393</v>
      </c>
      <c r="G356" s="526"/>
      <c r="H356" s="459">
        <f>H354/15.5</f>
        <v>831.14193548387107</v>
      </c>
    </row>
    <row r="357" spans="1:8" x14ac:dyDescent="0.25">
      <c r="A357" s="453"/>
      <c r="D357" s="453"/>
      <c r="E357" s="454"/>
      <c r="F357" s="454"/>
      <c r="G357" s="454"/>
      <c r="H357" s="453"/>
    </row>
    <row r="358" spans="1:8" ht="15.6" x14ac:dyDescent="0.3">
      <c r="A358" s="453"/>
      <c r="B358" s="463" t="s">
        <v>394</v>
      </c>
      <c r="C358" s="463"/>
      <c r="D358" s="463"/>
      <c r="E358" s="463"/>
      <c r="G358" s="454"/>
      <c r="H358" s="453"/>
    </row>
    <row r="359" spans="1:8" x14ac:dyDescent="0.25">
      <c r="A359" s="453"/>
      <c r="D359" s="453"/>
      <c r="E359" s="454"/>
      <c r="F359" s="454"/>
      <c r="G359" s="454"/>
      <c r="H359" s="453"/>
    </row>
    <row r="360" spans="1:8" x14ac:dyDescent="0.25">
      <c r="A360" s="453">
        <v>1</v>
      </c>
      <c r="B360" s="455" t="s">
        <v>395</v>
      </c>
      <c r="D360" s="453" t="s">
        <v>396</v>
      </c>
      <c r="E360" s="454">
        <v>1</v>
      </c>
      <c r="F360" s="454">
        <v>50</v>
      </c>
      <c r="G360" s="454">
        <f>E360*F360</f>
        <v>50</v>
      </c>
      <c r="H360" s="453"/>
    </row>
    <row r="361" spans="1:8" x14ac:dyDescent="0.25">
      <c r="A361" s="453"/>
      <c r="D361" s="453"/>
      <c r="E361" s="454"/>
      <c r="F361" s="454"/>
      <c r="G361" s="454"/>
      <c r="H361" s="453"/>
    </row>
    <row r="362" spans="1:8" x14ac:dyDescent="0.25">
      <c r="A362" s="453"/>
      <c r="D362" s="453"/>
      <c r="E362" s="454"/>
      <c r="F362" s="454"/>
      <c r="G362" s="454"/>
      <c r="H362" s="453"/>
    </row>
    <row r="363" spans="1:8" x14ac:dyDescent="0.25">
      <c r="A363" s="453"/>
      <c r="C363" t="s">
        <v>397</v>
      </c>
      <c r="D363" s="453"/>
      <c r="H363" s="453"/>
    </row>
    <row r="364" spans="1:8" x14ac:dyDescent="0.25">
      <c r="A364" s="453"/>
      <c r="D364" s="453"/>
      <c r="E364" s="454"/>
      <c r="F364" s="526" t="s">
        <v>398</v>
      </c>
      <c r="G364" s="526">
        <v>20</v>
      </c>
      <c r="H364" s="459">
        <v>50</v>
      </c>
    </row>
    <row r="366" spans="1:8" ht="27.6" x14ac:dyDescent="0.25">
      <c r="A366" s="314" t="s">
        <v>198</v>
      </c>
      <c r="B366" s="314" t="s">
        <v>199</v>
      </c>
      <c r="C366" s="314" t="s">
        <v>200</v>
      </c>
      <c r="D366" s="314" t="s">
        <v>201</v>
      </c>
      <c r="E366" s="314" t="s">
        <v>202</v>
      </c>
      <c r="F366" s="314" t="s">
        <v>203</v>
      </c>
      <c r="G366" s="314" t="s">
        <v>204</v>
      </c>
      <c r="H366" s="314" t="s">
        <v>205</v>
      </c>
    </row>
    <row r="367" spans="1:8" ht="36" x14ac:dyDescent="0.25">
      <c r="A367" s="205" t="s">
        <v>399</v>
      </c>
      <c r="B367" s="206">
        <v>1</v>
      </c>
      <c r="C367" s="206" t="s">
        <v>164</v>
      </c>
      <c r="D367" s="207"/>
      <c r="E367" s="207"/>
      <c r="F367" s="207">
        <f>+F376/B370</f>
        <v>8717.5400000000009</v>
      </c>
      <c r="G367" s="207">
        <f>+G376/B370</f>
        <v>1001.12</v>
      </c>
      <c r="H367" s="464">
        <f>+G367+F367</f>
        <v>9718.6600000000017</v>
      </c>
    </row>
    <row r="368" spans="1:8" x14ac:dyDescent="0.25">
      <c r="A368" s="465"/>
      <c r="B368" s="466">
        <v>1</v>
      </c>
      <c r="C368" s="206" t="s">
        <v>172</v>
      </c>
      <c r="D368" s="207"/>
      <c r="E368" s="207"/>
      <c r="F368" s="207">
        <f>+F367/10</f>
        <v>871.75400000000013</v>
      </c>
      <c r="G368" s="207">
        <f>+G367/10</f>
        <v>100.11199999999999</v>
      </c>
      <c r="H368" s="464">
        <f>+G368+F368</f>
        <v>971.8660000000001</v>
      </c>
    </row>
    <row r="369" spans="1:8" x14ac:dyDescent="0.25">
      <c r="A369" s="213" t="s">
        <v>400</v>
      </c>
      <c r="B369" s="467"/>
      <c r="C369" s="467"/>
      <c r="D369" s="209"/>
      <c r="E369" s="209"/>
      <c r="F369" s="209"/>
      <c r="G369" s="209"/>
      <c r="H369" s="210"/>
    </row>
    <row r="370" spans="1:8" x14ac:dyDescent="0.25">
      <c r="A370" s="208" t="s">
        <v>223</v>
      </c>
      <c r="B370" s="211">
        <v>1</v>
      </c>
      <c r="C370" s="211" t="s">
        <v>164</v>
      </c>
      <c r="D370" s="209"/>
      <c r="E370" s="209"/>
      <c r="F370" s="209"/>
      <c r="G370" s="209"/>
      <c r="H370" s="210"/>
    </row>
    <row r="371" spans="1:8" x14ac:dyDescent="0.25">
      <c r="A371" s="208" t="s">
        <v>227</v>
      </c>
      <c r="B371" s="211"/>
      <c r="C371" s="211"/>
      <c r="D371" s="212"/>
      <c r="E371" s="212"/>
      <c r="F371" s="212"/>
      <c r="G371" s="212"/>
      <c r="H371" s="212"/>
    </row>
    <row r="372" spans="1:8" ht="24" x14ac:dyDescent="0.25">
      <c r="A372" s="213" t="s">
        <v>401</v>
      </c>
      <c r="B372" s="211">
        <f>+B370*1.1</f>
        <v>1.1000000000000001</v>
      </c>
      <c r="C372" s="211" t="s">
        <v>164</v>
      </c>
      <c r="D372" s="212">
        <v>5621.59</v>
      </c>
      <c r="E372" s="212">
        <v>910.1099999999999</v>
      </c>
      <c r="F372" s="212">
        <f>ROUND((B372*(D372)),2)</f>
        <v>6183.75</v>
      </c>
      <c r="G372" s="212">
        <f>ROUND((B372*(E372)),2)</f>
        <v>1001.12</v>
      </c>
      <c r="H372" s="212"/>
    </row>
    <row r="373" spans="1:8" x14ac:dyDescent="0.25">
      <c r="A373" s="208" t="s">
        <v>242</v>
      </c>
      <c r="B373" s="211"/>
      <c r="C373" s="211"/>
      <c r="D373" s="212"/>
      <c r="E373" s="212"/>
      <c r="F373" s="212"/>
      <c r="G373" s="212"/>
      <c r="H373" s="212"/>
    </row>
    <row r="374" spans="1:8" ht="24" x14ac:dyDescent="0.25">
      <c r="A374" s="213" t="s">
        <v>402</v>
      </c>
      <c r="B374" s="211">
        <f>+B375*0.01</f>
        <v>0.1</v>
      </c>
      <c r="C374" s="211" t="s">
        <v>253</v>
      </c>
      <c r="D374" s="212">
        <v>1024.8699999999999</v>
      </c>
      <c r="E374" s="212">
        <v>0</v>
      </c>
      <c r="F374" s="212">
        <f>ROUND((B374*(D374)),2)</f>
        <v>102.49</v>
      </c>
      <c r="G374" s="212">
        <f>ROUND((B374*(E374)),2)</f>
        <v>0</v>
      </c>
      <c r="H374" s="212"/>
    </row>
    <row r="375" spans="1:8" ht="24" x14ac:dyDescent="0.25">
      <c r="A375" s="213" t="s">
        <v>403</v>
      </c>
      <c r="B375" s="211">
        <v>10</v>
      </c>
      <c r="C375" s="211" t="s">
        <v>172</v>
      </c>
      <c r="D375" s="212">
        <v>243.13</v>
      </c>
      <c r="E375" s="212">
        <v>0</v>
      </c>
      <c r="F375" s="212">
        <f>ROUND((B375*(D375)),2)</f>
        <v>2431.3000000000002</v>
      </c>
      <c r="G375" s="212">
        <f>ROUND((B375*(E375)),2)</f>
        <v>0</v>
      </c>
      <c r="H375" s="212"/>
    </row>
    <row r="376" spans="1:8" x14ac:dyDescent="0.25">
      <c r="A376" s="213" t="s">
        <v>230</v>
      </c>
      <c r="B376" s="211"/>
      <c r="C376" s="211"/>
      <c r="D376" s="212"/>
      <c r="E376" s="212"/>
      <c r="F376" s="212">
        <f>SUM(F372:F375)</f>
        <v>8717.5400000000009</v>
      </c>
      <c r="G376" s="212">
        <f>SUM(G372:G375)</f>
        <v>1001.12</v>
      </c>
      <c r="H376" s="212">
        <f>SUM(F376:G376)</f>
        <v>9718.6600000000017</v>
      </c>
    </row>
    <row r="378" spans="1:8" ht="27.6" x14ac:dyDescent="0.25">
      <c r="A378" s="314" t="s">
        <v>198</v>
      </c>
      <c r="B378" s="314" t="s">
        <v>199</v>
      </c>
      <c r="C378" s="314" t="s">
        <v>200</v>
      </c>
      <c r="D378" s="314" t="s">
        <v>201</v>
      </c>
      <c r="E378" s="314" t="s">
        <v>202</v>
      </c>
      <c r="F378" s="314" t="s">
        <v>203</v>
      </c>
      <c r="G378" s="314" t="s">
        <v>204</v>
      </c>
      <c r="H378" s="314" t="s">
        <v>205</v>
      </c>
    </row>
    <row r="379" spans="1:8" ht="36" x14ac:dyDescent="0.25">
      <c r="A379" s="205" t="s">
        <v>404</v>
      </c>
      <c r="B379" s="206">
        <v>1</v>
      </c>
      <c r="C379" s="206" t="s">
        <v>164</v>
      </c>
      <c r="D379" s="207"/>
      <c r="E379" s="207"/>
      <c r="F379" s="207">
        <f>+F391/B382</f>
        <v>12405.349999999999</v>
      </c>
      <c r="G379" s="207">
        <f>+G391/B382</f>
        <v>1161.8400000000001</v>
      </c>
      <c r="H379" s="464">
        <f>+G379+F379</f>
        <v>13567.189999999999</v>
      </c>
    </row>
    <row r="380" spans="1:8" x14ac:dyDescent="0.25">
      <c r="A380" s="468"/>
      <c r="B380" s="466">
        <v>1</v>
      </c>
      <c r="C380" s="206" t="s">
        <v>322</v>
      </c>
      <c r="D380" s="207"/>
      <c r="E380" s="207"/>
      <c r="F380" s="207">
        <f>+F379/B390</f>
        <v>1674.1363022941969</v>
      </c>
      <c r="G380" s="207">
        <f>+G379/B390</f>
        <v>156.7935222672065</v>
      </c>
      <c r="H380" s="464">
        <f>+G380+F380</f>
        <v>1830.9298245614034</v>
      </c>
    </row>
    <row r="381" spans="1:8" ht="24" x14ac:dyDescent="0.25">
      <c r="A381" s="213" t="s">
        <v>405</v>
      </c>
      <c r="B381" s="467"/>
      <c r="C381" s="467"/>
      <c r="D381" s="209"/>
      <c r="E381" s="209"/>
      <c r="F381" s="209"/>
      <c r="G381" s="209"/>
      <c r="H381" s="210"/>
    </row>
    <row r="382" spans="1:8" x14ac:dyDescent="0.25">
      <c r="A382" s="208" t="s">
        <v>223</v>
      </c>
      <c r="B382" s="211">
        <v>1</v>
      </c>
      <c r="C382" s="211" t="s">
        <v>164</v>
      </c>
      <c r="D382" s="209"/>
      <c r="E382" s="209"/>
      <c r="F382" s="209"/>
      <c r="G382" s="209"/>
      <c r="H382" s="210"/>
    </row>
    <row r="383" spans="1:8" x14ac:dyDescent="0.25">
      <c r="A383" s="208" t="s">
        <v>227</v>
      </c>
      <c r="B383" s="211"/>
      <c r="C383" s="211"/>
      <c r="D383" s="212"/>
      <c r="E383" s="212"/>
      <c r="F383" s="212"/>
      <c r="G383" s="212"/>
      <c r="H383" s="212"/>
    </row>
    <row r="384" spans="1:8" ht="24" x14ac:dyDescent="0.25">
      <c r="A384" s="213" t="s">
        <v>406</v>
      </c>
      <c r="B384" s="211">
        <f>+B389*1.3</f>
        <v>1.9266000000000003</v>
      </c>
      <c r="C384" s="211" t="s">
        <v>281</v>
      </c>
      <c r="D384" s="212">
        <v>618.55670103092791</v>
      </c>
      <c r="E384" s="212">
        <v>0</v>
      </c>
      <c r="F384" s="212">
        <f>ROUND((B384*(D384)),2)</f>
        <v>1191.71</v>
      </c>
      <c r="G384" s="212">
        <f>ROUND((B384*(E384)),2)</f>
        <v>0</v>
      </c>
      <c r="H384" s="212"/>
    </row>
    <row r="385" spans="1:8" ht="24" x14ac:dyDescent="0.25">
      <c r="A385" s="213" t="s">
        <v>407</v>
      </c>
      <c r="B385" s="211">
        <v>2.4700000000000002</v>
      </c>
      <c r="C385" s="211" t="s">
        <v>215</v>
      </c>
      <c r="D385" s="212">
        <v>401.91916666666663</v>
      </c>
      <c r="E385" s="212">
        <v>55.193333333333328</v>
      </c>
      <c r="F385" s="212">
        <f>ROUND((B385*(D385)),2)</f>
        <v>992.74</v>
      </c>
      <c r="G385" s="212">
        <f>ROUND((B385*(E385)),2)</f>
        <v>136.33000000000001</v>
      </c>
      <c r="H385" s="212"/>
    </row>
    <row r="386" spans="1:8" ht="24" x14ac:dyDescent="0.25">
      <c r="A386" s="213" t="s">
        <v>408</v>
      </c>
      <c r="B386" s="211">
        <v>1.23</v>
      </c>
      <c r="C386" s="211" t="s">
        <v>409</v>
      </c>
      <c r="D386" s="212">
        <v>110.17</v>
      </c>
      <c r="E386" s="212">
        <v>19.829999999999998</v>
      </c>
      <c r="F386" s="212">
        <f>ROUND((B386*(D386)),2)</f>
        <v>135.51</v>
      </c>
      <c r="G386" s="212">
        <f>ROUND((B386*(E386)),2)</f>
        <v>24.39</v>
      </c>
      <c r="H386" s="212"/>
    </row>
    <row r="387" spans="1:8" ht="24" x14ac:dyDescent="0.25">
      <c r="A387" s="213" t="s">
        <v>401</v>
      </c>
      <c r="B387" s="211">
        <f>+B382*1.1</f>
        <v>1.1000000000000001</v>
      </c>
      <c r="C387" s="211" t="s">
        <v>164</v>
      </c>
      <c r="D387" s="212">
        <v>5621.59</v>
      </c>
      <c r="E387" s="212">
        <v>910.1099999999999</v>
      </c>
      <c r="F387" s="212">
        <f>ROUND((B387*(D387)),2)</f>
        <v>6183.75</v>
      </c>
      <c r="G387" s="212">
        <f>ROUND((B387*(E387)),2)</f>
        <v>1001.12</v>
      </c>
      <c r="H387" s="212"/>
    </row>
    <row r="388" spans="1:8" x14ac:dyDescent="0.25">
      <c r="A388" s="208" t="s">
        <v>242</v>
      </c>
      <c r="B388" s="211"/>
      <c r="C388" s="211"/>
      <c r="D388" s="212"/>
      <c r="E388" s="212"/>
      <c r="F388" s="212"/>
      <c r="G388" s="212"/>
      <c r="H388" s="212"/>
    </row>
    <row r="389" spans="1:8" x14ac:dyDescent="0.25">
      <c r="A389" s="213" t="s">
        <v>410</v>
      </c>
      <c r="B389" s="211">
        <f>+B390*0.4*0.5</f>
        <v>1.4820000000000002</v>
      </c>
      <c r="C389" s="211" t="s">
        <v>164</v>
      </c>
      <c r="D389" s="212">
        <v>797.39</v>
      </c>
      <c r="E389" s="212">
        <v>0</v>
      </c>
      <c r="F389" s="212">
        <f>ROUND((B389*(D389)),2)</f>
        <v>1181.73</v>
      </c>
      <c r="G389" s="212">
        <f>ROUND((B389*(E389)),2)</f>
        <v>0</v>
      </c>
      <c r="H389" s="212"/>
    </row>
    <row r="390" spans="1:8" ht="24" x14ac:dyDescent="0.25">
      <c r="A390" s="213" t="s">
        <v>411</v>
      </c>
      <c r="B390" s="211">
        <v>7.41</v>
      </c>
      <c r="C390" s="211" t="s">
        <v>322</v>
      </c>
      <c r="D390" s="212">
        <v>367.06</v>
      </c>
      <c r="E390" s="212">
        <v>0</v>
      </c>
      <c r="F390" s="212">
        <f>ROUND((B390*(D390)),2)</f>
        <v>2719.91</v>
      </c>
      <c r="G390" s="212">
        <f>ROUND((B390*(E390)),2)</f>
        <v>0</v>
      </c>
      <c r="H390" s="212"/>
    </row>
    <row r="391" spans="1:8" x14ac:dyDescent="0.25">
      <c r="A391" s="213" t="s">
        <v>230</v>
      </c>
      <c r="B391" s="211"/>
      <c r="C391" s="211"/>
      <c r="D391" s="212"/>
      <c r="E391" s="212"/>
      <c r="F391" s="212">
        <f>SUM(F384:F390)</f>
        <v>12405.349999999999</v>
      </c>
      <c r="G391" s="212">
        <f>SUM(G384:G390)</f>
        <v>1161.8400000000001</v>
      </c>
      <c r="H391" s="212">
        <f>SUM(F391:G391)</f>
        <v>13567.189999999999</v>
      </c>
    </row>
  </sheetData>
  <mergeCells count="48">
    <mergeCell ref="F356:G356"/>
    <mergeCell ref="F364:G364"/>
    <mergeCell ref="E309:F309"/>
    <mergeCell ref="E322:F322"/>
    <mergeCell ref="E326:F326"/>
    <mergeCell ref="E331:F331"/>
    <mergeCell ref="D337:F337"/>
    <mergeCell ref="E346:F346"/>
    <mergeCell ref="E307:F307"/>
    <mergeCell ref="A284:E284"/>
    <mergeCell ref="A288:E288"/>
    <mergeCell ref="A293:E293"/>
    <mergeCell ref="A297:E297"/>
    <mergeCell ref="A264:E264"/>
    <mergeCell ref="B268:C268"/>
    <mergeCell ref="B184:H184"/>
    <mergeCell ref="A196:E196"/>
    <mergeCell ref="A206:E206"/>
    <mergeCell ref="A214:E214"/>
    <mergeCell ref="A223:E223"/>
    <mergeCell ref="A280:E280"/>
    <mergeCell ref="A179:E179"/>
    <mergeCell ref="A105:E105"/>
    <mergeCell ref="B108:D108"/>
    <mergeCell ref="A115:E115"/>
    <mergeCell ref="B120:H120"/>
    <mergeCell ref="A128:E128"/>
    <mergeCell ref="B132:D132"/>
    <mergeCell ref="A138:E138"/>
    <mergeCell ref="B143:H143"/>
    <mergeCell ref="A151:E151"/>
    <mergeCell ref="A169:E169"/>
    <mergeCell ref="B173:D173"/>
    <mergeCell ref="A232:E232"/>
    <mergeCell ref="A241:E241"/>
    <mergeCell ref="B252:C252"/>
    <mergeCell ref="B102:D102"/>
    <mergeCell ref="A9:E9"/>
    <mergeCell ref="B32:C32"/>
    <mergeCell ref="A44:E44"/>
    <mergeCell ref="B47:C47"/>
    <mergeCell ref="A59:E59"/>
    <mergeCell ref="B63:C63"/>
    <mergeCell ref="A75:E75"/>
    <mergeCell ref="B78:C78"/>
    <mergeCell ref="A90:E90"/>
    <mergeCell ref="B94:D94"/>
    <mergeCell ref="A100:E100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218F-B89B-490B-80AE-8D84FA250970}">
  <dimension ref="B3:F13"/>
  <sheetViews>
    <sheetView workbookViewId="0">
      <selection activeCell="K28" sqref="K28"/>
    </sheetView>
  </sheetViews>
  <sheetFormatPr baseColWidth="10" defaultRowHeight="13.2" x14ac:dyDescent="0.25"/>
  <cols>
    <col min="2" max="2" width="36.109375" customWidth="1"/>
    <col min="3" max="3" width="5.77734375" bestFit="1" customWidth="1"/>
    <col min="4" max="4" width="4" bestFit="1" customWidth="1"/>
    <col min="5" max="5" width="11.33203125" bestFit="1" customWidth="1"/>
    <col min="6" max="6" width="9.88671875" bestFit="1" customWidth="1"/>
  </cols>
  <sheetData>
    <row r="3" spans="2:6" x14ac:dyDescent="0.25">
      <c r="E3" s="455" t="s">
        <v>8</v>
      </c>
      <c r="F3" s="455" t="s">
        <v>203</v>
      </c>
    </row>
    <row r="4" spans="2:6" ht="14.4" x14ac:dyDescent="0.3">
      <c r="B4" s="498" t="s">
        <v>290</v>
      </c>
      <c r="C4" s="499">
        <v>1</v>
      </c>
      <c r="D4" s="500" t="s">
        <v>221</v>
      </c>
      <c r="E4" s="501">
        <v>3961.6</v>
      </c>
      <c r="F4" s="501">
        <v>533.9</v>
      </c>
    </row>
    <row r="5" spans="2:6" ht="14.4" x14ac:dyDescent="0.3">
      <c r="B5" s="498" t="s">
        <v>228</v>
      </c>
      <c r="C5" s="499">
        <v>1</v>
      </c>
      <c r="D5" s="500" t="s">
        <v>221</v>
      </c>
      <c r="E5" s="501">
        <v>1822.03</v>
      </c>
      <c r="F5" s="501">
        <v>327.97</v>
      </c>
    </row>
    <row r="6" spans="2:6" ht="14.4" x14ac:dyDescent="0.3">
      <c r="B6" s="498" t="s">
        <v>254</v>
      </c>
      <c r="C6" s="499">
        <v>1</v>
      </c>
      <c r="D6" s="500" t="s">
        <v>253</v>
      </c>
      <c r="E6" s="501">
        <v>4500</v>
      </c>
      <c r="F6" s="501">
        <v>810</v>
      </c>
    </row>
    <row r="7" spans="2:6" ht="14.4" x14ac:dyDescent="0.3">
      <c r="B7" s="498" t="s">
        <v>264</v>
      </c>
      <c r="C7" s="499">
        <v>1</v>
      </c>
      <c r="D7" s="500" t="s">
        <v>221</v>
      </c>
      <c r="E7" s="501">
        <v>450</v>
      </c>
      <c r="F7" s="501">
        <f>+E7*0.18</f>
        <v>81</v>
      </c>
    </row>
    <row r="8" spans="2:6" ht="14.4" x14ac:dyDescent="0.3">
      <c r="B8" s="498" t="s">
        <v>303</v>
      </c>
      <c r="C8" s="499">
        <v>1</v>
      </c>
      <c r="D8" s="500" t="s">
        <v>304</v>
      </c>
      <c r="E8" s="501">
        <v>1600</v>
      </c>
      <c r="F8" s="501">
        <f>+E8*0.18</f>
        <v>288</v>
      </c>
    </row>
    <row r="9" spans="2:6" ht="14.4" x14ac:dyDescent="0.3">
      <c r="B9" s="498" t="s">
        <v>305</v>
      </c>
      <c r="C9" s="499">
        <v>1</v>
      </c>
      <c r="D9" s="500" t="s">
        <v>304</v>
      </c>
      <c r="E9" s="501">
        <v>2000</v>
      </c>
      <c r="F9" s="501">
        <f>+E9*0.18</f>
        <v>360</v>
      </c>
    </row>
    <row r="12" spans="2:6" ht="14.4" x14ac:dyDescent="0.3">
      <c r="B12" s="498" t="s">
        <v>439</v>
      </c>
    </row>
    <row r="13" spans="2:6" ht="14.4" x14ac:dyDescent="0.3">
      <c r="B13" s="498" t="s">
        <v>440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FB18-7DF3-4D54-B8B2-FEA166B93C77}">
  <dimension ref="A2:K67"/>
  <sheetViews>
    <sheetView workbookViewId="0">
      <selection activeCell="K10" sqref="K10"/>
    </sheetView>
  </sheetViews>
  <sheetFormatPr baseColWidth="10" defaultRowHeight="13.2" x14ac:dyDescent="0.25"/>
  <cols>
    <col min="1" max="1" width="41.6640625" style="475" bestFit="1" customWidth="1"/>
    <col min="4" max="4" width="12.44140625" style="473" bestFit="1" customWidth="1"/>
    <col min="5" max="6" width="11.5546875" style="473"/>
    <col min="10" max="10" width="18.109375" bestFit="1" customWidth="1"/>
  </cols>
  <sheetData>
    <row r="2" spans="1:11" x14ac:dyDescent="0.25">
      <c r="E2" s="474" t="s">
        <v>203</v>
      </c>
      <c r="F2" s="474" t="s">
        <v>428</v>
      </c>
    </row>
    <row r="3" spans="1:11" x14ac:dyDescent="0.25">
      <c r="A3" s="476" t="s">
        <v>197</v>
      </c>
      <c r="B3">
        <v>1</v>
      </c>
      <c r="C3" s="455" t="s">
        <v>16</v>
      </c>
      <c r="D3" s="473">
        <v>570</v>
      </c>
    </row>
    <row r="4" spans="1:11" x14ac:dyDescent="0.25">
      <c r="J4" s="455" t="s">
        <v>416</v>
      </c>
      <c r="K4">
        <v>797.39</v>
      </c>
    </row>
    <row r="5" spans="1:11" x14ac:dyDescent="0.25">
      <c r="A5" s="338" t="s">
        <v>228</v>
      </c>
      <c r="B5" s="344">
        <v>1</v>
      </c>
      <c r="C5" s="345" t="s">
        <v>221</v>
      </c>
      <c r="D5" s="344">
        <v>2200</v>
      </c>
      <c r="E5" s="344">
        <f>+D5*0.18</f>
        <v>396</v>
      </c>
      <c r="F5" s="473">
        <f>+D5+E5</f>
        <v>2596</v>
      </c>
      <c r="J5" s="455" t="s">
        <v>431</v>
      </c>
      <c r="K5">
        <v>797.39</v>
      </c>
    </row>
    <row r="6" spans="1:11" x14ac:dyDescent="0.25">
      <c r="A6" s="475" t="s">
        <v>254</v>
      </c>
      <c r="B6">
        <v>1</v>
      </c>
      <c r="C6" t="s">
        <v>253</v>
      </c>
      <c r="D6" s="473">
        <v>600</v>
      </c>
      <c r="E6" s="473">
        <v>810</v>
      </c>
      <c r="F6" s="473">
        <f t="shared" ref="F6:F8" si="0">+D6+E6</f>
        <v>1410</v>
      </c>
      <c r="J6" s="455" t="s">
        <v>432</v>
      </c>
      <c r="K6">
        <v>1024.8699999999999</v>
      </c>
    </row>
    <row r="7" spans="1:11" x14ac:dyDescent="0.25">
      <c r="A7" s="475" t="s">
        <v>264</v>
      </c>
      <c r="B7">
        <v>1</v>
      </c>
      <c r="C7" t="s">
        <v>221</v>
      </c>
      <c r="D7" s="473">
        <v>450</v>
      </c>
      <c r="E7" s="473">
        <v>81</v>
      </c>
      <c r="F7" s="473">
        <f t="shared" si="0"/>
        <v>531</v>
      </c>
      <c r="J7" s="455" t="s">
        <v>433</v>
      </c>
      <c r="K7">
        <v>1024.8699999999999</v>
      </c>
    </row>
    <row r="8" spans="1:11" x14ac:dyDescent="0.25">
      <c r="A8" s="475" t="s">
        <v>290</v>
      </c>
      <c r="B8">
        <v>1</v>
      </c>
      <c r="C8" t="s">
        <v>221</v>
      </c>
      <c r="D8" s="473">
        <v>4074.1</v>
      </c>
      <c r="E8" s="473">
        <v>733.33799999999997</v>
      </c>
      <c r="F8" s="473">
        <f t="shared" si="0"/>
        <v>4807.4380000000001</v>
      </c>
      <c r="J8" s="455" t="s">
        <v>434</v>
      </c>
      <c r="K8">
        <v>1024.8699999999999</v>
      </c>
    </row>
    <row r="9" spans="1:11" x14ac:dyDescent="0.25">
      <c r="J9" s="455" t="s">
        <v>435</v>
      </c>
      <c r="K9">
        <v>1898.49</v>
      </c>
    </row>
    <row r="10" spans="1:11" x14ac:dyDescent="0.25">
      <c r="J10" s="455" t="s">
        <v>436</v>
      </c>
      <c r="K10">
        <v>1898.49</v>
      </c>
    </row>
    <row r="13" spans="1:11" x14ac:dyDescent="0.25">
      <c r="A13" s="475" t="s">
        <v>233</v>
      </c>
      <c r="B13">
        <v>1</v>
      </c>
      <c r="C13" t="s">
        <v>234</v>
      </c>
      <c r="D13" s="473">
        <v>10765</v>
      </c>
      <c r="E13" s="473">
        <v>1937.6999999999998</v>
      </c>
      <c r="F13" s="473">
        <f>+D13+E13</f>
        <v>12702.7</v>
      </c>
      <c r="J13" s="455" t="s">
        <v>437</v>
      </c>
      <c r="K13" s="455">
        <f>293.6/1.18</f>
        <v>248.81355932203394</v>
      </c>
    </row>
    <row r="14" spans="1:11" x14ac:dyDescent="0.25">
      <c r="A14" s="475" t="s">
        <v>248</v>
      </c>
      <c r="B14">
        <v>1</v>
      </c>
      <c r="C14" t="s">
        <v>234</v>
      </c>
      <c r="D14" s="473">
        <v>7500</v>
      </c>
      <c r="E14" s="473">
        <v>1350</v>
      </c>
      <c r="F14" s="473">
        <f t="shared" ref="F14:F20" si="1">+D14+E14</f>
        <v>8850</v>
      </c>
      <c r="J14" s="455" t="s">
        <v>438</v>
      </c>
      <c r="K14" s="455">
        <f>241.1/1.18</f>
        <v>204.32203389830508</v>
      </c>
    </row>
    <row r="15" spans="1:11" x14ac:dyDescent="0.25">
      <c r="A15" s="475" t="s">
        <v>27</v>
      </c>
      <c r="B15">
        <v>1</v>
      </c>
      <c r="C15" t="s">
        <v>234</v>
      </c>
      <c r="D15" s="473">
        <v>5500</v>
      </c>
      <c r="E15" s="473">
        <f t="shared" ref="E15:E20" si="2">+D15*0.18</f>
        <v>990</v>
      </c>
      <c r="F15" s="473">
        <f t="shared" si="1"/>
        <v>6490</v>
      </c>
    </row>
    <row r="16" spans="1:11" x14ac:dyDescent="0.25">
      <c r="A16" s="475" t="s">
        <v>28</v>
      </c>
      <c r="B16">
        <v>1</v>
      </c>
      <c r="C16" t="s">
        <v>234</v>
      </c>
      <c r="D16" s="473">
        <v>6500</v>
      </c>
      <c r="E16" s="473">
        <f t="shared" si="2"/>
        <v>1170</v>
      </c>
      <c r="F16" s="473">
        <f t="shared" si="1"/>
        <v>7670</v>
      </c>
    </row>
    <row r="17" spans="1:6" x14ac:dyDescent="0.25">
      <c r="A17" s="475" t="s">
        <v>316</v>
      </c>
      <c r="B17">
        <v>1</v>
      </c>
      <c r="C17" t="s">
        <v>417</v>
      </c>
      <c r="D17" s="473">
        <f>5.9*2199.88948749827</f>
        <v>12979.347976239793</v>
      </c>
      <c r="E17" s="473">
        <f t="shared" si="2"/>
        <v>2336.2826357231625</v>
      </c>
      <c r="F17" s="473">
        <f t="shared" si="1"/>
        <v>15315.630611962955</v>
      </c>
    </row>
    <row r="18" spans="1:6" x14ac:dyDescent="0.25">
      <c r="A18" s="475" t="s">
        <v>324</v>
      </c>
      <c r="B18">
        <v>1</v>
      </c>
      <c r="C18" t="s">
        <v>417</v>
      </c>
      <c r="D18" s="473">
        <f>5.9*1270.20306672192</f>
        <v>7494.1980936593291</v>
      </c>
      <c r="E18" s="473">
        <f t="shared" si="2"/>
        <v>1348.9556568586793</v>
      </c>
      <c r="F18" s="473">
        <f t="shared" si="1"/>
        <v>8843.1537505180077</v>
      </c>
    </row>
    <row r="19" spans="1:6" x14ac:dyDescent="0.25">
      <c r="A19" s="475" t="s">
        <v>327</v>
      </c>
      <c r="B19">
        <v>1</v>
      </c>
      <c r="C19" t="s">
        <v>417</v>
      </c>
      <c r="D19" s="473">
        <f>5.9*1100</f>
        <v>6490</v>
      </c>
      <c r="E19" s="473">
        <f t="shared" si="2"/>
        <v>1168.2</v>
      </c>
      <c r="F19" s="473">
        <f t="shared" si="1"/>
        <v>7658.2</v>
      </c>
    </row>
    <row r="20" spans="1:6" x14ac:dyDescent="0.25">
      <c r="A20" s="475" t="s">
        <v>330</v>
      </c>
      <c r="B20">
        <v>1</v>
      </c>
      <c r="C20" t="s">
        <v>417</v>
      </c>
      <c r="D20" s="473">
        <f>5.9*995</f>
        <v>5870.5</v>
      </c>
      <c r="E20" s="473">
        <f t="shared" si="2"/>
        <v>1056.69</v>
      </c>
      <c r="F20" s="473">
        <f t="shared" si="1"/>
        <v>6927.1900000000005</v>
      </c>
    </row>
    <row r="23" spans="1:6" x14ac:dyDescent="0.25">
      <c r="A23" s="477" t="s">
        <v>426</v>
      </c>
      <c r="B23">
        <v>1</v>
      </c>
      <c r="C23" t="s">
        <v>164</v>
      </c>
      <c r="D23" s="473">
        <v>1325</v>
      </c>
      <c r="F23" s="473">
        <f>+D23+E23</f>
        <v>1325</v>
      </c>
    </row>
    <row r="24" spans="1:6" ht="26.4" x14ac:dyDescent="0.25">
      <c r="A24" s="475" t="s">
        <v>294</v>
      </c>
      <c r="B24">
        <v>1</v>
      </c>
      <c r="C24" t="s">
        <v>164</v>
      </c>
      <c r="D24" s="473">
        <v>365</v>
      </c>
      <c r="E24" s="473">
        <v>65.7</v>
      </c>
      <c r="F24" s="473">
        <f>+D24+E24</f>
        <v>430.7</v>
      </c>
    </row>
    <row r="29" spans="1:6" x14ac:dyDescent="0.25">
      <c r="A29" s="475" t="s">
        <v>78</v>
      </c>
      <c r="B29">
        <v>1</v>
      </c>
      <c r="C29" t="s">
        <v>417</v>
      </c>
      <c r="D29" s="473">
        <v>5133</v>
      </c>
      <c r="E29" s="473">
        <v>923.93999999999994</v>
      </c>
      <c r="F29" s="473">
        <f>+D29+E29</f>
        <v>6056.94</v>
      </c>
    </row>
    <row r="30" spans="1:6" x14ac:dyDescent="0.25">
      <c r="A30" s="475" t="s">
        <v>80</v>
      </c>
      <c r="B30">
        <v>1</v>
      </c>
      <c r="C30" t="s">
        <v>417</v>
      </c>
      <c r="D30" s="473">
        <v>5133</v>
      </c>
      <c r="E30" s="473">
        <v>923.93999999999994</v>
      </c>
      <c r="F30" s="473">
        <f t="shared" ref="F30:F42" si="3">+D30+E30</f>
        <v>6056.94</v>
      </c>
    </row>
    <row r="31" spans="1:6" x14ac:dyDescent="0.25">
      <c r="A31" s="475" t="s">
        <v>82</v>
      </c>
      <c r="B31">
        <v>1</v>
      </c>
      <c r="C31" t="s">
        <v>417</v>
      </c>
      <c r="D31" s="473">
        <v>5133</v>
      </c>
      <c r="E31" s="473">
        <v>923.93999999999994</v>
      </c>
      <c r="F31" s="473">
        <f t="shared" si="3"/>
        <v>6056.94</v>
      </c>
    </row>
    <row r="32" spans="1:6" x14ac:dyDescent="0.25">
      <c r="A32" s="475" t="s">
        <v>26</v>
      </c>
      <c r="B32">
        <v>1</v>
      </c>
      <c r="C32" t="s">
        <v>417</v>
      </c>
      <c r="D32" s="473">
        <v>5133</v>
      </c>
      <c r="E32" s="473">
        <v>923.93999999999994</v>
      </c>
      <c r="F32" s="473">
        <f t="shared" si="3"/>
        <v>6056.94</v>
      </c>
    </row>
    <row r="33" spans="1:6" x14ac:dyDescent="0.25">
      <c r="A33" s="475" t="s">
        <v>85</v>
      </c>
      <c r="B33">
        <v>1</v>
      </c>
      <c r="C33" t="s">
        <v>417</v>
      </c>
      <c r="D33" s="473">
        <v>5133</v>
      </c>
      <c r="E33" s="473">
        <v>923.93999999999994</v>
      </c>
      <c r="F33" s="473">
        <f t="shared" si="3"/>
        <v>6056.94</v>
      </c>
    </row>
    <row r="34" spans="1:6" x14ac:dyDescent="0.25">
      <c r="A34" s="475" t="s">
        <v>87</v>
      </c>
      <c r="B34">
        <v>1</v>
      </c>
      <c r="C34" t="s">
        <v>417</v>
      </c>
      <c r="D34" s="473">
        <v>5133</v>
      </c>
      <c r="E34" s="473">
        <v>923.93999999999994</v>
      </c>
      <c r="F34" s="473">
        <f t="shared" si="3"/>
        <v>6056.94</v>
      </c>
    </row>
    <row r="35" spans="1:6" x14ac:dyDescent="0.25">
      <c r="A35" s="475" t="s">
        <v>89</v>
      </c>
      <c r="B35">
        <v>1</v>
      </c>
      <c r="C35" t="s">
        <v>417</v>
      </c>
      <c r="D35" s="473">
        <v>5133</v>
      </c>
      <c r="E35" s="473">
        <v>923.93999999999994</v>
      </c>
      <c r="F35" s="473">
        <f t="shared" si="3"/>
        <v>6056.94</v>
      </c>
    </row>
    <row r="36" spans="1:6" x14ac:dyDescent="0.25">
      <c r="A36" s="475" t="s">
        <v>91</v>
      </c>
      <c r="B36">
        <v>1</v>
      </c>
      <c r="C36" t="s">
        <v>417</v>
      </c>
      <c r="D36" s="473">
        <v>5133</v>
      </c>
      <c r="E36" s="473">
        <v>923.93999999999994</v>
      </c>
      <c r="F36" s="473">
        <f t="shared" si="3"/>
        <v>6056.94</v>
      </c>
    </row>
    <row r="37" spans="1:6" x14ac:dyDescent="0.25">
      <c r="A37" s="475" t="s">
        <v>93</v>
      </c>
      <c r="B37">
        <v>1</v>
      </c>
      <c r="C37" t="s">
        <v>417</v>
      </c>
      <c r="D37" s="473">
        <v>5133</v>
      </c>
      <c r="E37" s="473">
        <v>923.93999999999994</v>
      </c>
      <c r="F37" s="473">
        <f t="shared" si="3"/>
        <v>6056.94</v>
      </c>
    </row>
    <row r="38" spans="1:6" x14ac:dyDescent="0.25">
      <c r="A38" s="475" t="s">
        <v>95</v>
      </c>
      <c r="B38">
        <v>1</v>
      </c>
      <c r="C38" t="s">
        <v>417</v>
      </c>
      <c r="D38" s="473">
        <v>5133</v>
      </c>
      <c r="E38" s="473">
        <v>923.93999999999994</v>
      </c>
      <c r="F38" s="473">
        <f t="shared" si="3"/>
        <v>6056.94</v>
      </c>
    </row>
    <row r="39" spans="1:6" x14ac:dyDescent="0.25">
      <c r="A39" s="475" t="s">
        <v>97</v>
      </c>
      <c r="B39">
        <v>1</v>
      </c>
      <c r="C39" t="s">
        <v>417</v>
      </c>
      <c r="D39" s="473">
        <v>5133</v>
      </c>
      <c r="E39" s="473">
        <v>923.93999999999994</v>
      </c>
      <c r="F39" s="473">
        <f t="shared" si="3"/>
        <v>6056.94</v>
      </c>
    </row>
    <row r="40" spans="1:6" x14ac:dyDescent="0.25">
      <c r="A40" s="475" t="s">
        <v>99</v>
      </c>
      <c r="B40">
        <v>1</v>
      </c>
      <c r="C40" t="s">
        <v>417</v>
      </c>
      <c r="D40" s="473">
        <v>5133</v>
      </c>
      <c r="E40" s="473">
        <v>923.93999999999994</v>
      </c>
      <c r="F40" s="473">
        <f t="shared" si="3"/>
        <v>6056.94</v>
      </c>
    </row>
    <row r="41" spans="1:6" x14ac:dyDescent="0.25">
      <c r="A41" s="475" t="s">
        <v>101</v>
      </c>
      <c r="B41">
        <v>1</v>
      </c>
      <c r="C41" t="s">
        <v>417</v>
      </c>
      <c r="D41" s="473">
        <v>5133</v>
      </c>
      <c r="E41" s="473">
        <v>923.93999999999994</v>
      </c>
      <c r="F41" s="473">
        <f t="shared" si="3"/>
        <v>6056.94</v>
      </c>
    </row>
    <row r="42" spans="1:6" x14ac:dyDescent="0.25">
      <c r="A42" s="475" t="s">
        <v>103</v>
      </c>
      <c r="B42">
        <v>1</v>
      </c>
      <c r="C42" t="s">
        <v>417</v>
      </c>
      <c r="D42" s="473">
        <v>5133</v>
      </c>
      <c r="E42" s="473">
        <v>923.93999999999994</v>
      </c>
      <c r="F42" s="473">
        <f t="shared" si="3"/>
        <v>6056.94</v>
      </c>
    </row>
    <row r="44" spans="1:6" x14ac:dyDescent="0.25">
      <c r="A44" s="475" t="s">
        <v>418</v>
      </c>
      <c r="B44">
        <v>1</v>
      </c>
      <c r="C44" t="s">
        <v>419</v>
      </c>
      <c r="D44" s="473">
        <v>110</v>
      </c>
      <c r="E44" s="473">
        <v>19.8</v>
      </c>
      <c r="F44" s="473">
        <f>+D44+E44</f>
        <v>129.80000000000001</v>
      </c>
    </row>
    <row r="47" spans="1:6" x14ac:dyDescent="0.25">
      <c r="A47" s="475" t="s">
        <v>420</v>
      </c>
      <c r="B47">
        <v>1</v>
      </c>
      <c r="C47" t="s">
        <v>421</v>
      </c>
      <c r="D47" s="473">
        <v>2966.1016949152545</v>
      </c>
      <c r="E47" s="473">
        <v>533.89830508474574</v>
      </c>
      <c r="F47" s="473">
        <f>+D47+E47</f>
        <v>3500</v>
      </c>
    </row>
    <row r="48" spans="1:6" x14ac:dyDescent="0.25">
      <c r="A48" s="475" t="s">
        <v>422</v>
      </c>
      <c r="B48">
        <v>1</v>
      </c>
      <c r="C48" t="s">
        <v>423</v>
      </c>
      <c r="D48" s="473">
        <v>2862.71</v>
      </c>
      <c r="E48" s="473">
        <v>515.28779999999995</v>
      </c>
      <c r="F48" s="473">
        <f>+D48+E48</f>
        <v>3377.9978000000001</v>
      </c>
    </row>
    <row r="51" spans="1:6" x14ac:dyDescent="0.25">
      <c r="A51" s="475" t="s">
        <v>132</v>
      </c>
      <c r="B51">
        <v>1</v>
      </c>
      <c r="C51" t="s">
        <v>417</v>
      </c>
      <c r="D51" s="473">
        <v>2860</v>
      </c>
      <c r="E51" s="473">
        <f>+D51*0.18</f>
        <v>514.79999999999995</v>
      </c>
      <c r="F51" s="473">
        <f>+D51+E51</f>
        <v>3374.8</v>
      </c>
    </row>
    <row r="52" spans="1:6" x14ac:dyDescent="0.25">
      <c r="A52" s="475" t="s">
        <v>133</v>
      </c>
      <c r="B52">
        <v>22</v>
      </c>
      <c r="C52" t="s">
        <v>24</v>
      </c>
      <c r="D52" s="473">
        <v>1835.2437288135593</v>
      </c>
      <c r="E52" s="473">
        <f t="shared" ref="E52:E54" si="4">+D52*0.18</f>
        <v>330.34387118644065</v>
      </c>
      <c r="F52" s="473">
        <f t="shared" ref="F52:F54" si="5">+D52+E52</f>
        <v>2165.5875999999998</v>
      </c>
    </row>
    <row r="53" spans="1:6" x14ac:dyDescent="0.25">
      <c r="A53" s="475" t="s">
        <v>134</v>
      </c>
      <c r="B53">
        <v>7</v>
      </c>
      <c r="C53" t="s">
        <v>24</v>
      </c>
      <c r="D53" s="473">
        <v>1020.8071186440678</v>
      </c>
      <c r="E53" s="473">
        <f t="shared" si="4"/>
        <v>183.74528135593221</v>
      </c>
      <c r="F53" s="473">
        <f t="shared" si="5"/>
        <v>1204.5524</v>
      </c>
    </row>
    <row r="54" spans="1:6" x14ac:dyDescent="0.25">
      <c r="A54" s="475" t="s">
        <v>135</v>
      </c>
      <c r="B54">
        <v>16</v>
      </c>
      <c r="C54" t="s">
        <v>24</v>
      </c>
      <c r="D54" s="473">
        <v>831.56050847457618</v>
      </c>
      <c r="E54" s="473">
        <f t="shared" si="4"/>
        <v>149.6808915254237</v>
      </c>
      <c r="F54" s="473">
        <f t="shared" si="5"/>
        <v>981.24139999999989</v>
      </c>
    </row>
    <row r="57" spans="1:6" ht="52.8" x14ac:dyDescent="0.25">
      <c r="A57" s="475" t="s">
        <v>140</v>
      </c>
      <c r="B57">
        <v>2</v>
      </c>
      <c r="C57" t="s">
        <v>24</v>
      </c>
      <c r="D57" s="473">
        <v>58771.186440677971</v>
      </c>
      <c r="E57" s="473">
        <f>+D57*0.18</f>
        <v>10578.813559322034</v>
      </c>
      <c r="F57" s="473">
        <f>+D57+E57</f>
        <v>69350</v>
      </c>
    </row>
    <row r="58" spans="1:6" ht="52.8" x14ac:dyDescent="0.25">
      <c r="A58" s="475" t="s">
        <v>141</v>
      </c>
      <c r="B58">
        <v>1</v>
      </c>
      <c r="C58" t="s">
        <v>24</v>
      </c>
      <c r="D58" s="473">
        <v>45000</v>
      </c>
      <c r="E58" s="473">
        <f t="shared" ref="E58:E59" si="6">+D58*0.18</f>
        <v>8100</v>
      </c>
      <c r="F58" s="473">
        <f t="shared" ref="F58:F59" si="7">+D58+E58</f>
        <v>53100</v>
      </c>
    </row>
    <row r="59" spans="1:6" ht="52.8" x14ac:dyDescent="0.25">
      <c r="A59" s="475" t="s">
        <v>142</v>
      </c>
      <c r="B59">
        <v>13</v>
      </c>
      <c r="C59" t="s">
        <v>24</v>
      </c>
      <c r="D59" s="473">
        <v>35750</v>
      </c>
      <c r="E59" s="473">
        <f t="shared" si="6"/>
        <v>6435</v>
      </c>
      <c r="F59" s="473">
        <f t="shared" si="7"/>
        <v>42185</v>
      </c>
    </row>
    <row r="63" spans="1:6" ht="39.6" x14ac:dyDescent="0.25">
      <c r="A63" s="475" t="s">
        <v>147</v>
      </c>
      <c r="B63">
        <v>1</v>
      </c>
      <c r="C63" t="s">
        <v>24</v>
      </c>
      <c r="D63" s="180">
        <v>4155</v>
      </c>
      <c r="F63" s="473">
        <f>+D63+E63</f>
        <v>4155</v>
      </c>
    </row>
    <row r="67" spans="1:6" x14ac:dyDescent="0.25">
      <c r="A67" s="477" t="s">
        <v>427</v>
      </c>
      <c r="B67">
        <v>1</v>
      </c>
      <c r="C67" s="455" t="s">
        <v>164</v>
      </c>
      <c r="D67" s="454">
        <v>9500</v>
      </c>
      <c r="F67" s="473">
        <f>+D67+E67</f>
        <v>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Presupuesto Base 1</vt:lpstr>
      <vt:lpstr>Analisis presupuesto base</vt:lpstr>
      <vt:lpstr>Presupuesto Equilibrio Economc</vt:lpstr>
      <vt:lpstr>Presupuesto actualizado</vt:lpstr>
      <vt:lpstr>Presupuesto Actual compl</vt:lpstr>
      <vt:lpstr>Analisis de costos actualizados</vt:lpstr>
      <vt:lpstr>Hoja1</vt:lpstr>
      <vt:lpstr>Lista de Materiales</vt:lpstr>
      <vt:lpstr>ayu</vt:lpstr>
      <vt:lpstr>gasoil</vt:lpstr>
      <vt:lpstr>gasolina</vt:lpstr>
      <vt:lpstr>ma</vt:lpstr>
      <vt:lpstr>op_1era</vt:lpstr>
      <vt:lpstr>op_2da</vt:lpstr>
      <vt:lpstr>Op_3era</vt:lpstr>
      <vt:lpstr>pe</vt:lpstr>
      <vt:lpstr>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Jabib Suárez Holguín Veras</dc:creator>
  <cp:keywords/>
  <dc:description/>
  <cp:lastModifiedBy>ibelka alonzo</cp:lastModifiedBy>
  <cp:revision/>
  <cp:lastPrinted>2022-10-18T17:15:36Z</cp:lastPrinted>
  <dcterms:created xsi:type="dcterms:W3CDTF">2021-11-26T14:15:06Z</dcterms:created>
  <dcterms:modified xsi:type="dcterms:W3CDTF">2022-10-20T19:01:07Z</dcterms:modified>
  <cp:category/>
  <cp:contentStatus/>
</cp:coreProperties>
</file>